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autoCompressPictures="0"/>
  <bookViews>
    <workbookView xWindow="0" yWindow="0" windowWidth="28800" windowHeight="12435" tabRatio="858" activeTab="3"/>
  </bookViews>
  <sheets>
    <sheet name="НН физ.спорт ДЮСШ" sheetId="16" r:id="rId1"/>
    <sheet name="расчет гто" sheetId="17" r:id="rId2"/>
    <sheet name="расчет" sheetId="7" r:id="rId3"/>
    <sheet name="Для ФУ " sheetId="18" r:id="rId4"/>
  </sheets>
  <definedNames>
    <definedName name="иные" localSheetId="3">#REF!</definedName>
    <definedName name="иные" localSheetId="0">#REF!</definedName>
    <definedName name="иные" localSheetId="1">#REF!</definedName>
    <definedName name="материальные_запасы_основные_средства" localSheetId="3">#REF!</definedName>
    <definedName name="материальные_запасы_основные_средства" localSheetId="0">#REF!</definedName>
    <definedName name="материальные_запасы_основные_средства" localSheetId="1">#REF!</definedName>
    <definedName name="_xlnm.Print_Area" localSheetId="3">'Для ФУ '!$A$1:$N$9</definedName>
    <definedName name="_xlnm.Print_Area" localSheetId="0">'НН физ.спорт ДЮСШ'!$A$1:$H$132</definedName>
    <definedName name="_xlnm.Print_Area" localSheetId="2">расчет!$A$1:$AH$145</definedName>
    <definedName name="_xlnm.Print_Area" localSheetId="1">'расчет гто'!$A$1:$K$123</definedName>
    <definedName name="оплата_труда" localSheetId="3">#REF!</definedName>
    <definedName name="оплата_труда" localSheetId="0">#REF!</definedName>
    <definedName name="оплата_труда" localSheetId="1">#REF!</definedName>
    <definedName name="Список" localSheetId="3">#REF!</definedName>
    <definedName name="Список" localSheetId="0">#REF!</definedName>
    <definedName name="Список" localSheetId="1">#REF!</definedName>
  </definedNames>
  <calcPr calcId="124519"/>
  <extLst xmlns:x15="http://schemas.microsoft.com/office/spreadsheetml/2010/11/main">
    <ext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4" i="18"/>
  <c r="W4"/>
  <c r="V4"/>
  <c r="U4"/>
  <c r="T4"/>
  <c r="T7" s="1"/>
  <c r="S4"/>
  <c r="R4"/>
  <c r="Q4"/>
  <c r="P4"/>
  <c r="O4"/>
  <c r="X7"/>
  <c r="P7"/>
  <c r="X6"/>
  <c r="U6"/>
  <c r="Q6"/>
  <c r="P6"/>
  <c r="X5"/>
  <c r="X8" s="1"/>
  <c r="T5"/>
  <c r="T8" s="1"/>
  <c r="P5"/>
  <c r="P8" s="1"/>
  <c r="W7"/>
  <c r="V6"/>
  <c r="U7"/>
  <c r="S7"/>
  <c r="R6"/>
  <c r="Q7"/>
  <c r="O7"/>
  <c r="N77" i="7"/>
  <c r="AM74"/>
  <c r="AM69"/>
  <c r="AL123"/>
  <c r="AL124"/>
  <c r="AL48"/>
  <c r="AO143"/>
  <c r="AM143"/>
  <c r="AL125"/>
  <c r="E125"/>
  <c r="D125"/>
  <c r="AA141"/>
  <c r="P141"/>
  <c r="AA140"/>
  <c r="P140"/>
  <c r="AA139"/>
  <c r="P139"/>
  <c r="AA138"/>
  <c r="P138"/>
  <c r="AA137"/>
  <c r="P137"/>
  <c r="AA136"/>
  <c r="P136"/>
  <c r="AA135"/>
  <c r="P135"/>
  <c r="AA134"/>
  <c r="P134"/>
  <c r="AA133"/>
  <c r="P133"/>
  <c r="AA132"/>
  <c r="P132"/>
  <c r="AA131"/>
  <c r="P131"/>
  <c r="AA130"/>
  <c r="P130"/>
  <c r="AA129"/>
  <c r="P129"/>
  <c r="AA128"/>
  <c r="P128"/>
  <c r="AA127"/>
  <c r="P127"/>
  <c r="AA126"/>
  <c r="P126"/>
  <c r="AA125"/>
  <c r="P125"/>
  <c r="AA124"/>
  <c r="P124"/>
  <c r="D124"/>
  <c r="AA123"/>
  <c r="P123"/>
  <c r="D123"/>
  <c r="AA122"/>
  <c r="P122"/>
  <c r="D122"/>
  <c r="AA121"/>
  <c r="P121"/>
  <c r="D121"/>
  <c r="AA120"/>
  <c r="P120"/>
  <c r="D120"/>
  <c r="AA119"/>
  <c r="P119"/>
  <c r="D119"/>
  <c r="AA118"/>
  <c r="P118"/>
  <c r="D118"/>
  <c r="AA117"/>
  <c r="P117"/>
  <c r="D117"/>
  <c r="AM115"/>
  <c r="AK17"/>
  <c r="E53"/>
  <c r="E52"/>
  <c r="E51"/>
  <c r="E50"/>
  <c r="E49"/>
  <c r="Q53"/>
  <c r="Q52"/>
  <c r="Q51"/>
  <c r="Q50"/>
  <c r="Q49"/>
  <c r="AB50"/>
  <c r="AB51"/>
  <c r="AB52"/>
  <c r="AB53"/>
  <c r="AB49"/>
  <c r="AL87"/>
  <c r="AA86"/>
  <c r="P86"/>
  <c r="D86"/>
  <c r="AA85"/>
  <c r="P85"/>
  <c r="D85"/>
  <c r="AA84"/>
  <c r="P84"/>
  <c r="D84"/>
  <c r="AA83"/>
  <c r="P83"/>
  <c r="D83"/>
  <c r="AA82"/>
  <c r="P82"/>
  <c r="D82"/>
  <c r="AA81"/>
  <c r="P81"/>
  <c r="D81"/>
  <c r="AA80"/>
  <c r="P80"/>
  <c r="D80"/>
  <c r="AA79"/>
  <c r="P79"/>
  <c r="D79"/>
  <c r="AA78"/>
  <c r="P78"/>
  <c r="D78"/>
  <c r="AA77"/>
  <c r="P77"/>
  <c r="D77"/>
  <c r="AA76"/>
  <c r="P76"/>
  <c r="D76"/>
  <c r="AA73"/>
  <c r="P73"/>
  <c r="D73"/>
  <c r="AA72"/>
  <c r="P72"/>
  <c r="D72"/>
  <c r="AA71"/>
  <c r="P71"/>
  <c r="D71"/>
  <c r="AA70"/>
  <c r="P70"/>
  <c r="D70"/>
  <c r="AA69"/>
  <c r="P69"/>
  <c r="D69"/>
  <c r="T6" i="18" l="1"/>
  <c r="Y4"/>
  <c r="R5"/>
  <c r="V5"/>
  <c r="R7"/>
  <c r="V7"/>
  <c r="O5"/>
  <c r="W5"/>
  <c r="Q5"/>
  <c r="Q8" s="1"/>
  <c r="U5"/>
  <c r="U8" s="1"/>
  <c r="O6"/>
  <c r="S6"/>
  <c r="W6"/>
  <c r="S5"/>
  <c r="AI69" i="7"/>
  <c r="AA101"/>
  <c r="P101"/>
  <c r="D101"/>
  <c r="AA100"/>
  <c r="P100"/>
  <c r="D100"/>
  <c r="AA99"/>
  <c r="P99"/>
  <c r="D99"/>
  <c r="AK95"/>
  <c r="AL97"/>
  <c r="P96"/>
  <c r="D96"/>
  <c r="P95"/>
  <c r="D95"/>
  <c r="P94"/>
  <c r="D94"/>
  <c r="AE104"/>
  <c r="AL115"/>
  <c r="AF8"/>
  <c r="AF9"/>
  <c r="AE105"/>
  <c r="AE106"/>
  <c r="AE109"/>
  <c r="AE113"/>
  <c r="AE111"/>
  <c r="AE112"/>
  <c r="AE110"/>
  <c r="AE108"/>
  <c r="AE107"/>
  <c r="AE114"/>
  <c r="AA114"/>
  <c r="P114"/>
  <c r="D114"/>
  <c r="AA113"/>
  <c r="P113"/>
  <c r="D113"/>
  <c r="AA112"/>
  <c r="P112"/>
  <c r="D112"/>
  <c r="AA111"/>
  <c r="P111"/>
  <c r="D111"/>
  <c r="AA110"/>
  <c r="P110"/>
  <c r="D110"/>
  <c r="AA109"/>
  <c r="P109"/>
  <c r="D109"/>
  <c r="AA108"/>
  <c r="P108"/>
  <c r="D108"/>
  <c r="AA107"/>
  <c r="P107"/>
  <c r="D107"/>
  <c r="AA106"/>
  <c r="P106"/>
  <c r="D106"/>
  <c r="AA105"/>
  <c r="P105"/>
  <c r="D105"/>
  <c r="AA104"/>
  <c r="P104"/>
  <c r="D104"/>
  <c r="C8"/>
  <c r="O8"/>
  <c r="AI8"/>
  <c r="O9"/>
  <c r="Q9" s="1"/>
  <c r="C9"/>
  <c r="AB9"/>
  <c r="E9"/>
  <c r="AB8"/>
  <c r="Q8"/>
  <c r="E8"/>
  <c r="S8" i="18" l="1"/>
  <c r="O8"/>
  <c r="R8"/>
  <c r="W8"/>
  <c r="V8"/>
  <c r="AH147" i="7"/>
  <c r="AG169"/>
  <c r="AG158"/>
  <c r="M9" i="18" l="1"/>
  <c r="M7"/>
  <c r="M6"/>
  <c r="M5"/>
  <c r="AC8" i="7"/>
  <c r="R51"/>
  <c r="R52" s="1"/>
  <c r="R53" s="1"/>
  <c r="R50"/>
  <c r="R49"/>
  <c r="R23"/>
  <c r="R24" s="1"/>
  <c r="R25" s="1"/>
  <c r="R26" s="1"/>
  <c r="R27" s="1"/>
  <c r="R28" s="1"/>
  <c r="R29" s="1"/>
  <c r="R30" s="1"/>
  <c r="R31" s="1"/>
  <c r="R32" s="1"/>
  <c r="R33" s="1"/>
  <c r="R34" s="1"/>
  <c r="R35" s="1"/>
  <c r="R36" s="1"/>
  <c r="R37" s="1"/>
  <c r="R38" s="1"/>
  <c r="R39" s="1"/>
  <c r="R40" s="1"/>
  <c r="R22"/>
  <c r="R21"/>
  <c r="R8"/>
  <c r="F8"/>
  <c r="C85" l="1"/>
  <c r="B85"/>
  <c r="H85"/>
  <c r="O85"/>
  <c r="N85"/>
  <c r="T85"/>
  <c r="B86"/>
  <c r="AH166"/>
  <c r="AL50"/>
  <c r="AM101"/>
  <c r="AI5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21"/>
  <c r="O73" l="1"/>
  <c r="N73"/>
  <c r="N72"/>
  <c r="N122"/>
  <c r="O132"/>
  <c r="N132"/>
  <c r="N138"/>
  <c r="T118"/>
  <c r="T119"/>
  <c r="T120"/>
  <c r="T121"/>
  <c r="T122"/>
  <c r="T123"/>
  <c r="T124"/>
  <c r="T125"/>
  <c r="T126"/>
  <c r="T127"/>
  <c r="T128"/>
  <c r="T129"/>
  <c r="T130"/>
  <c r="T131"/>
  <c r="T132"/>
  <c r="T133"/>
  <c r="T134"/>
  <c r="T135"/>
  <c r="T136"/>
  <c r="T137"/>
  <c r="T138"/>
  <c r="T139"/>
  <c r="T140"/>
  <c r="T141"/>
  <c r="T117"/>
  <c r="T105"/>
  <c r="T106"/>
  <c r="T107"/>
  <c r="T108"/>
  <c r="T109"/>
  <c r="T110"/>
  <c r="T111"/>
  <c r="T112"/>
  <c r="T113"/>
  <c r="T114"/>
  <c r="T104"/>
  <c r="T100"/>
  <c r="T101"/>
  <c r="T99"/>
  <c r="T95"/>
  <c r="T96"/>
  <c r="T94"/>
  <c r="T77"/>
  <c r="T78"/>
  <c r="T79"/>
  <c r="T80"/>
  <c r="T81"/>
  <c r="T82"/>
  <c r="T83"/>
  <c r="T84"/>
  <c r="T86"/>
  <c r="T76"/>
  <c r="T70"/>
  <c r="T71"/>
  <c r="T72"/>
  <c r="T73"/>
  <c r="T69"/>
  <c r="U50"/>
  <c r="U51"/>
  <c r="U52"/>
  <c r="U53"/>
  <c r="U49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21"/>
  <c r="U9"/>
  <c r="U10"/>
  <c r="U8"/>
  <c r="AJ10"/>
  <c r="AJ8"/>
  <c r="B72" l="1"/>
  <c r="B122" l="1"/>
  <c r="B138"/>
  <c r="H77"/>
  <c r="H78"/>
  <c r="H79"/>
  <c r="H80"/>
  <c r="H81"/>
  <c r="H82"/>
  <c r="H83"/>
  <c r="H84"/>
  <c r="H86"/>
  <c r="H76"/>
  <c r="C132"/>
  <c r="H132"/>
  <c r="B132"/>
  <c r="I50" l="1"/>
  <c r="I51"/>
  <c r="I52"/>
  <c r="I53"/>
  <c r="I49"/>
  <c r="H73"/>
  <c r="B73"/>
  <c r="C73"/>
  <c r="A73"/>
  <c r="H120"/>
  <c r="H122"/>
  <c r="H125"/>
  <c r="H126"/>
  <c r="H128"/>
  <c r="H131"/>
  <c r="H133"/>
  <c r="H134"/>
  <c r="H135"/>
  <c r="H137"/>
  <c r="H138"/>
  <c r="H139"/>
  <c r="H140"/>
  <c r="H118"/>
  <c r="H124"/>
  <c r="H127"/>
  <c r="H117"/>
  <c r="H123"/>
  <c r="H141" l="1"/>
  <c r="H136"/>
  <c r="H130"/>
  <c r="H129"/>
  <c r="H121"/>
  <c r="H119"/>
  <c r="AD91"/>
  <c r="AG91" s="1"/>
  <c r="AD90"/>
  <c r="AG90" s="1"/>
  <c r="AD89"/>
  <c r="AG89" s="1"/>
  <c r="AD63"/>
  <c r="AG63" s="1"/>
  <c r="AC62"/>
  <c r="AD62" s="1"/>
  <c r="AG62" s="1"/>
  <c r="AC61"/>
  <c r="AD61" s="1"/>
  <c r="AG61" s="1"/>
  <c r="AC60"/>
  <c r="AD60" s="1"/>
  <c r="AG60" s="1"/>
  <c r="AC55"/>
  <c r="AD55" s="1"/>
  <c r="AG55" s="1"/>
  <c r="AC54"/>
  <c r="AD54" s="1"/>
  <c r="AG54" s="1"/>
  <c r="AC53"/>
  <c r="AD53" s="1"/>
  <c r="AG53" s="1"/>
  <c r="AC52"/>
  <c r="AD52" s="1"/>
  <c r="AG52" s="1"/>
  <c r="AC50"/>
  <c r="AD50" s="1"/>
  <c r="AG50" s="1"/>
  <c r="AC49"/>
  <c r="AD49" s="1"/>
  <c r="AG49" s="1"/>
  <c r="AC43"/>
  <c r="AD43" s="1"/>
  <c r="AG43" s="1"/>
  <c r="AC42"/>
  <c r="AD42" s="1"/>
  <c r="AG42" s="1"/>
  <c r="AC41"/>
  <c r="AD41" s="1"/>
  <c r="AG41" s="1"/>
  <c r="AC40"/>
  <c r="AD40" s="1"/>
  <c r="AG40" s="1"/>
  <c r="AC39"/>
  <c r="AD39" s="1"/>
  <c r="AG39" s="1"/>
  <c r="AC38"/>
  <c r="AD38" s="1"/>
  <c r="AG38" s="1"/>
  <c r="AC37"/>
  <c r="AD37" s="1"/>
  <c r="AG37" s="1"/>
  <c r="AC36"/>
  <c r="AD36" s="1"/>
  <c r="AG36" s="1"/>
  <c r="AC35"/>
  <c r="AD35" s="1"/>
  <c r="AG35" s="1"/>
  <c r="AC34"/>
  <c r="AD34" s="1"/>
  <c r="AG34" s="1"/>
  <c r="AC33"/>
  <c r="AD33" s="1"/>
  <c r="AG33" s="1"/>
  <c r="AC32"/>
  <c r="AC31"/>
  <c r="AD31" s="1"/>
  <c r="AG31" s="1"/>
  <c r="AC30"/>
  <c r="AD30" s="1"/>
  <c r="AG30" s="1"/>
  <c r="AC29"/>
  <c r="AD29" s="1"/>
  <c r="AG29" s="1"/>
  <c r="AC28"/>
  <c r="AD28" s="1"/>
  <c r="AG28" s="1"/>
  <c r="AC27"/>
  <c r="AD27" s="1"/>
  <c r="AG27" s="1"/>
  <c r="AC26"/>
  <c r="AD26" s="1"/>
  <c r="AG26" s="1"/>
  <c r="AC25"/>
  <c r="AD25" s="1"/>
  <c r="AG25" s="1"/>
  <c r="AC24"/>
  <c r="AD24" s="1"/>
  <c r="AG24" s="1"/>
  <c r="AC23"/>
  <c r="AD23" s="1"/>
  <c r="AG23" s="1"/>
  <c r="AC22"/>
  <c r="AD22" s="1"/>
  <c r="AG22" s="1"/>
  <c r="AC21"/>
  <c r="AD21" s="1"/>
  <c r="AG21" s="1"/>
  <c r="AD14"/>
  <c r="AG14" s="1"/>
  <c r="AG13"/>
  <c r="AC12"/>
  <c r="AC59" s="1"/>
  <c r="AD59" s="1"/>
  <c r="AG59" s="1"/>
  <c r="AB12"/>
  <c r="AC11"/>
  <c r="AC51" s="1"/>
  <c r="AD51" s="1"/>
  <c r="AG51" s="1"/>
  <c r="AB11"/>
  <c r="AC10"/>
  <c r="AC57" s="1"/>
  <c r="AD57" s="1"/>
  <c r="AG57" s="1"/>
  <c r="AB10"/>
  <c r="AC9"/>
  <c r="AC56" s="1"/>
  <c r="AD56" s="1"/>
  <c r="AG56" s="1"/>
  <c r="AD8"/>
  <c r="AG8" s="1"/>
  <c r="AG64" l="1"/>
  <c r="D7" i="18" s="1"/>
  <c r="AD10" i="7"/>
  <c r="AG10" s="1"/>
  <c r="AD32"/>
  <c r="AG32" s="1"/>
  <c r="AG44" s="1"/>
  <c r="C7" i="18" s="1"/>
  <c r="AD9" i="7"/>
  <c r="AG9" s="1"/>
  <c r="AD11"/>
  <c r="AG11" s="1"/>
  <c r="AD12"/>
  <c r="AG12" s="1"/>
  <c r="AG92"/>
  <c r="G7" i="18" s="1"/>
  <c r="AC58" i="7"/>
  <c r="AD58" s="1"/>
  <c r="AG58" s="1"/>
  <c r="AB69"/>
  <c r="AG16" l="1"/>
  <c r="B7" i="18" s="1"/>
  <c r="AB70" i="7"/>
  <c r="AD69"/>
  <c r="AG69" s="1"/>
  <c r="I10"/>
  <c r="AG65" l="1"/>
  <c r="AD70"/>
  <c r="AG70" s="1"/>
  <c r="AB71"/>
  <c r="AB72" l="1"/>
  <c r="AD71"/>
  <c r="AG71" s="1"/>
  <c r="I26"/>
  <c r="I27"/>
  <c r="I28"/>
  <c r="I29"/>
  <c r="I31"/>
  <c r="I33"/>
  <c r="I34"/>
  <c r="I35"/>
  <c r="I37"/>
  <c r="I39"/>
  <c r="I40"/>
  <c r="I21"/>
  <c r="I22"/>
  <c r="I23"/>
  <c r="I24"/>
  <c r="I25"/>
  <c r="I30"/>
  <c r="I32"/>
  <c r="I36"/>
  <c r="I38"/>
  <c r="H114"/>
  <c r="H113"/>
  <c r="H112"/>
  <c r="H110"/>
  <c r="H105"/>
  <c r="H106"/>
  <c r="H107"/>
  <c r="H108"/>
  <c r="H109"/>
  <c r="H111"/>
  <c r="H104"/>
  <c r="H96"/>
  <c r="H95"/>
  <c r="H94"/>
  <c r="AD72" l="1"/>
  <c r="AG72" s="1"/>
  <c r="AB73"/>
  <c r="AB76"/>
  <c r="I8"/>
  <c r="AD73" l="1"/>
  <c r="AG73" s="1"/>
  <c r="AG74" s="1"/>
  <c r="E7" i="18" s="1"/>
  <c r="AB77" i="7"/>
  <c r="AD76"/>
  <c r="AG76" s="1"/>
  <c r="AB78" l="1"/>
  <c r="AD77"/>
  <c r="AG77" s="1"/>
  <c r="AD78" l="1"/>
  <c r="AG78" s="1"/>
  <c r="AB79"/>
  <c r="H100"/>
  <c r="H101"/>
  <c r="H99"/>
  <c r="AB80" l="1"/>
  <c r="AD79"/>
  <c r="AG79" s="1"/>
  <c r="I9"/>
  <c r="I54"/>
  <c r="I55"/>
  <c r="I56"/>
  <c r="I57"/>
  <c r="I58"/>
  <c r="I59"/>
  <c r="I60"/>
  <c r="I61"/>
  <c r="I62"/>
  <c r="I63"/>
  <c r="H69"/>
  <c r="H70"/>
  <c r="H71"/>
  <c r="H72"/>
  <c r="AB81" l="1"/>
  <c r="AD80"/>
  <c r="AG80" s="1"/>
  <c r="C131" i="16"/>
  <c r="C132"/>
  <c r="C112"/>
  <c r="C113"/>
  <c r="C114"/>
  <c r="C115"/>
  <c r="C116"/>
  <c r="C117"/>
  <c r="C118"/>
  <c r="C119"/>
  <c r="C120"/>
  <c r="C121"/>
  <c r="C122"/>
  <c r="C123"/>
  <c r="C124"/>
  <c r="C125"/>
  <c r="C126"/>
  <c r="C127"/>
  <c r="C128"/>
  <c r="C129"/>
  <c r="C130"/>
  <c r="C111"/>
  <c r="C109"/>
  <c r="C101"/>
  <c r="C102"/>
  <c r="C103"/>
  <c r="C104"/>
  <c r="C105"/>
  <c r="C106"/>
  <c r="C107"/>
  <c r="C108"/>
  <c r="C100"/>
  <c r="D98"/>
  <c r="C97"/>
  <c r="C98"/>
  <c r="C96"/>
  <c r="C82"/>
  <c r="C73"/>
  <c r="C74"/>
  <c r="C75"/>
  <c r="C76"/>
  <c r="C77"/>
  <c r="C78"/>
  <c r="C79"/>
  <c r="C80"/>
  <c r="C81"/>
  <c r="C72"/>
  <c r="C48"/>
  <c r="C49"/>
  <c r="C50"/>
  <c r="C51"/>
  <c r="C52"/>
  <c r="C47"/>
  <c r="H43"/>
  <c r="H44"/>
  <c r="H45"/>
  <c r="C21"/>
  <c r="C22"/>
  <c r="C23"/>
  <c r="C24"/>
  <c r="C25"/>
  <c r="C26"/>
  <c r="C27"/>
  <c r="C28"/>
  <c r="C29"/>
  <c r="C30"/>
  <c r="C31"/>
  <c r="C32"/>
  <c r="C33"/>
  <c r="C34"/>
  <c r="C35"/>
  <c r="C36"/>
  <c r="C37"/>
  <c r="C38"/>
  <c r="C39"/>
  <c r="C20"/>
  <c r="AB82" i="7" l="1"/>
  <c r="AD81"/>
  <c r="AG81" s="1"/>
  <c r="S52"/>
  <c r="V52" s="1"/>
  <c r="S53"/>
  <c r="V53" s="1"/>
  <c r="Q69"/>
  <c r="AD82" l="1"/>
  <c r="AG82" s="1"/>
  <c r="AB83"/>
  <c r="H51" i="16"/>
  <c r="H50"/>
  <c r="Q70" i="7"/>
  <c r="AD83" l="1"/>
  <c r="AG83" s="1"/>
  <c r="AB84"/>
  <c r="S70"/>
  <c r="Q71"/>
  <c r="S91"/>
  <c r="V91" s="1"/>
  <c r="S90"/>
  <c r="V90" s="1"/>
  <c r="S89"/>
  <c r="V89" s="1"/>
  <c r="S69"/>
  <c r="S63"/>
  <c r="V63" s="1"/>
  <c r="R62"/>
  <c r="S62" s="1"/>
  <c r="V62" s="1"/>
  <c r="R61"/>
  <c r="S61" s="1"/>
  <c r="V61" s="1"/>
  <c r="R60"/>
  <c r="S60" s="1"/>
  <c r="V60" s="1"/>
  <c r="R55"/>
  <c r="S55" s="1"/>
  <c r="V55" s="1"/>
  <c r="R54"/>
  <c r="S54" s="1"/>
  <c r="S43"/>
  <c r="V43" s="1"/>
  <c r="S42"/>
  <c r="V42" s="1"/>
  <c r="S41"/>
  <c r="V41" s="1"/>
  <c r="S40"/>
  <c r="S39"/>
  <c r="S38"/>
  <c r="S37"/>
  <c r="S36"/>
  <c r="S35"/>
  <c r="S34"/>
  <c r="S33"/>
  <c r="S32"/>
  <c r="S31"/>
  <c r="S30"/>
  <c r="S29"/>
  <c r="S28"/>
  <c r="S27"/>
  <c r="S26"/>
  <c r="S25"/>
  <c r="S24"/>
  <c r="S23"/>
  <c r="S22"/>
  <c r="S21"/>
  <c r="S14"/>
  <c r="V14" s="1"/>
  <c r="V13"/>
  <c r="R12"/>
  <c r="R59" s="1"/>
  <c r="S59" s="1"/>
  <c r="V59" s="1"/>
  <c r="Q12"/>
  <c r="R11"/>
  <c r="Q11"/>
  <c r="R10"/>
  <c r="R9"/>
  <c r="S8"/>
  <c r="AD84" l="1"/>
  <c r="AG84" s="1"/>
  <c r="AB85"/>
  <c r="AD85" s="1"/>
  <c r="AG85" s="1"/>
  <c r="AB86"/>
  <c r="S9"/>
  <c r="S49"/>
  <c r="S71"/>
  <c r="H68" i="16" s="1"/>
  <c r="Q72" i="7"/>
  <c r="V70"/>
  <c r="H67" i="16"/>
  <c r="V8" i="7"/>
  <c r="H9" i="16"/>
  <c r="V23" i="7"/>
  <c r="H22" i="16"/>
  <c r="V27" i="7"/>
  <c r="H26" i="16"/>
  <c r="V31" i="7"/>
  <c r="H30" i="16"/>
  <c r="V35" i="7"/>
  <c r="H34" i="16"/>
  <c r="V39" i="7"/>
  <c r="H38" i="16"/>
  <c r="V24" i="7"/>
  <c r="H23" i="16"/>
  <c r="V28" i="7"/>
  <c r="H27" i="16"/>
  <c r="V32" i="7"/>
  <c r="H31" i="16"/>
  <c r="V36" i="7"/>
  <c r="H35" i="16"/>
  <c r="V40" i="7"/>
  <c r="H39" i="16"/>
  <c r="V69" i="7"/>
  <c r="H66" i="16"/>
  <c r="V21" i="7"/>
  <c r="H20" i="16"/>
  <c r="V25" i="7"/>
  <c r="H24" i="16"/>
  <c r="V29" i="7"/>
  <c r="H28" i="16"/>
  <c r="V33" i="7"/>
  <c r="H32" i="16"/>
  <c r="V37" i="7"/>
  <c r="H36" i="16"/>
  <c r="V22" i="7"/>
  <c r="H21" i="16"/>
  <c r="V26" i="7"/>
  <c r="H25" i="16"/>
  <c r="V30" i="7"/>
  <c r="H29" i="16"/>
  <c r="V34" i="7"/>
  <c r="H33" i="16"/>
  <c r="V38" i="7"/>
  <c r="H37" i="16"/>
  <c r="V54" i="7"/>
  <c r="H52" i="16"/>
  <c r="H91"/>
  <c r="R58" i="7"/>
  <c r="S58" s="1"/>
  <c r="V58" s="1"/>
  <c r="S50"/>
  <c r="V50" s="1"/>
  <c r="S11"/>
  <c r="V11" s="1"/>
  <c r="S12"/>
  <c r="V12" s="1"/>
  <c r="R56"/>
  <c r="S56" s="1"/>
  <c r="V56" s="1"/>
  <c r="R57"/>
  <c r="S57" s="1"/>
  <c r="V57" s="1"/>
  <c r="Q10"/>
  <c r="S10" s="1"/>
  <c r="V92"/>
  <c r="I9" i="17"/>
  <c r="H84"/>
  <c r="H86"/>
  <c r="H98"/>
  <c r="H96"/>
  <c r="H95"/>
  <c r="H94"/>
  <c r="I8"/>
  <c r="Q73" i="7" l="1"/>
  <c r="AB94"/>
  <c r="AD86"/>
  <c r="AG86" s="1"/>
  <c r="G6" i="18"/>
  <c r="V49" i="7"/>
  <c r="H47" i="16"/>
  <c r="S72" i="7"/>
  <c r="Q76"/>
  <c r="V71"/>
  <c r="V44"/>
  <c r="V10"/>
  <c r="H11" i="16"/>
  <c r="V9" i="7"/>
  <c r="H10" i="16"/>
  <c r="H48"/>
  <c r="S51" i="7"/>
  <c r="V51" s="1"/>
  <c r="J94" i="17"/>
  <c r="S73" i="7" l="1"/>
  <c r="V73" s="1"/>
  <c r="AG87"/>
  <c r="AD94"/>
  <c r="AG94" s="1"/>
  <c r="AB95"/>
  <c r="C6" i="18"/>
  <c r="Q77" i="7"/>
  <c r="S76"/>
  <c r="H69" i="16"/>
  <c r="V72" i="7"/>
  <c r="H49" i="16"/>
  <c r="V16" i="7"/>
  <c r="V64" l="1"/>
  <c r="V65" s="1"/>
  <c r="V74"/>
  <c r="F7" i="18"/>
  <c r="AB96" i="7"/>
  <c r="AD95"/>
  <c r="AG95" s="1"/>
  <c r="B6" i="18"/>
  <c r="V76" i="7"/>
  <c r="H72" i="16"/>
  <c r="Q78" i="7"/>
  <c r="S77"/>
  <c r="J95" i="17"/>
  <c r="J96"/>
  <c r="J97"/>
  <c r="G98"/>
  <c r="J98" s="1"/>
  <c r="G85"/>
  <c r="J85" s="1"/>
  <c r="G86"/>
  <c r="J86" s="1"/>
  <c r="G84"/>
  <c r="J84" s="1"/>
  <c r="G21"/>
  <c r="J21" s="1"/>
  <c r="G22"/>
  <c r="J22" s="1"/>
  <c r="G23"/>
  <c r="J23" s="1"/>
  <c r="G24"/>
  <c r="J24" s="1"/>
  <c r="G25"/>
  <c r="J25" s="1"/>
  <c r="G26"/>
  <c r="J26" s="1"/>
  <c r="G27"/>
  <c r="J27" s="1"/>
  <c r="G28"/>
  <c r="J28" s="1"/>
  <c r="G29"/>
  <c r="J29" s="1"/>
  <c r="G30"/>
  <c r="J30" s="1"/>
  <c r="G31"/>
  <c r="J31" s="1"/>
  <c r="G32"/>
  <c r="J32" s="1"/>
  <c r="G33"/>
  <c r="J33" s="1"/>
  <c r="G34"/>
  <c r="J34" s="1"/>
  <c r="G35"/>
  <c r="J35" s="1"/>
  <c r="G36"/>
  <c r="J36" s="1"/>
  <c r="G37"/>
  <c r="J37" s="1"/>
  <c r="G20"/>
  <c r="J20" s="1"/>
  <c r="G9"/>
  <c r="J9" s="1"/>
  <c r="E8"/>
  <c r="G8" s="1"/>
  <c r="J8" s="1"/>
  <c r="J120"/>
  <c r="J119"/>
  <c r="J118"/>
  <c r="J117"/>
  <c r="J116"/>
  <c r="J115"/>
  <c r="J114"/>
  <c r="J113"/>
  <c r="J112"/>
  <c r="J111"/>
  <c r="J110"/>
  <c r="J109"/>
  <c r="J108"/>
  <c r="J107"/>
  <c r="J106"/>
  <c r="J105"/>
  <c r="J91"/>
  <c r="J90"/>
  <c r="G81"/>
  <c r="J81" s="1"/>
  <c r="G80"/>
  <c r="J80" s="1"/>
  <c r="G79"/>
  <c r="J79" s="1"/>
  <c r="J76"/>
  <c r="J75"/>
  <c r="J74"/>
  <c r="J73"/>
  <c r="J72"/>
  <c r="J71"/>
  <c r="J70"/>
  <c r="J68"/>
  <c r="G58"/>
  <c r="J58" s="1"/>
  <c r="F57"/>
  <c r="G57" s="1"/>
  <c r="J57" s="1"/>
  <c r="F56"/>
  <c r="G56" s="1"/>
  <c r="J56" s="1"/>
  <c r="F55"/>
  <c r="G55" s="1"/>
  <c r="J55" s="1"/>
  <c r="F50"/>
  <c r="G50" s="1"/>
  <c r="J50" s="1"/>
  <c r="F49"/>
  <c r="G49" s="1"/>
  <c r="J49" s="1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G13"/>
  <c r="J13" s="1"/>
  <c r="J12"/>
  <c r="F11"/>
  <c r="F54" s="1"/>
  <c r="G54" s="1"/>
  <c r="J54" s="1"/>
  <c r="E11"/>
  <c r="F10"/>
  <c r="F53" s="1"/>
  <c r="G53" s="1"/>
  <c r="J53" s="1"/>
  <c r="E10"/>
  <c r="F52"/>
  <c r="G52" s="1"/>
  <c r="J52" s="1"/>
  <c r="F9"/>
  <c r="F51" s="1"/>
  <c r="G51" s="1"/>
  <c r="J51" s="1"/>
  <c r="M14" i="16"/>
  <c r="N15" s="1"/>
  <c r="N16" s="1"/>
  <c r="E6" i="18" l="1"/>
  <c r="D6"/>
  <c r="AB99" i="7"/>
  <c r="AD96"/>
  <c r="AG96" s="1"/>
  <c r="AG97" s="1"/>
  <c r="H7" i="18" s="1"/>
  <c r="J82" i="17"/>
  <c r="V77" i="7"/>
  <c r="H73" i="16"/>
  <c r="Q79" i="7"/>
  <c r="S78"/>
  <c r="L9" i="17"/>
  <c r="M9"/>
  <c r="J38"/>
  <c r="L8"/>
  <c r="M8"/>
  <c r="J92"/>
  <c r="J88"/>
  <c r="J77"/>
  <c r="G10"/>
  <c r="J10" s="1"/>
  <c r="G11"/>
  <c r="J11" s="1"/>
  <c r="J121"/>
  <c r="J59"/>
  <c r="N17" i="16"/>
  <c r="H87"/>
  <c r="H86"/>
  <c r="E66"/>
  <c r="H62"/>
  <c r="G61"/>
  <c r="H61" s="1"/>
  <c r="G60"/>
  <c r="H60" s="1"/>
  <c r="G59"/>
  <c r="H59" s="1"/>
  <c r="H15"/>
  <c r="F13"/>
  <c r="F12"/>
  <c r="F11"/>
  <c r="F10"/>
  <c r="F9"/>
  <c r="S79" i="7" l="1"/>
  <c r="Q80"/>
  <c r="AB100"/>
  <c r="AD99"/>
  <c r="AG99" s="1"/>
  <c r="V78"/>
  <c r="H74" i="16"/>
  <c r="J103" i="17"/>
  <c r="J15"/>
  <c r="L15" s="1"/>
  <c r="G9" i="16"/>
  <c r="AB101" i="7" l="1"/>
  <c r="AD100"/>
  <c r="AG100" s="1"/>
  <c r="H75" i="16"/>
  <c r="V79" i="7"/>
  <c r="J122" i="17"/>
  <c r="L104"/>
  <c r="J60"/>
  <c r="G54" i="16"/>
  <c r="H54" s="1"/>
  <c r="G53"/>
  <c r="H53" s="1"/>
  <c r="G52"/>
  <c r="G45"/>
  <c r="G44"/>
  <c r="G43"/>
  <c r="G39"/>
  <c r="G38"/>
  <c r="G37"/>
  <c r="G36"/>
  <c r="G35"/>
  <c r="G34"/>
  <c r="G33"/>
  <c r="G32"/>
  <c r="G31"/>
  <c r="G30"/>
  <c r="G29"/>
  <c r="G28"/>
  <c r="G27"/>
  <c r="G26"/>
  <c r="G25"/>
  <c r="G24"/>
  <c r="G23"/>
  <c r="G22"/>
  <c r="G21"/>
  <c r="G20"/>
  <c r="G12"/>
  <c r="G11"/>
  <c r="G13"/>
  <c r="G10"/>
  <c r="G49"/>
  <c r="G47"/>
  <c r="G51"/>
  <c r="AB104" i="7" l="1"/>
  <c r="AD101"/>
  <c r="AG101" s="1"/>
  <c r="AG102" s="1"/>
  <c r="I7" i="18" s="1"/>
  <c r="Q81" i="7"/>
  <c r="S80"/>
  <c r="H76" i="16"/>
  <c r="J123" i="17"/>
  <c r="J124" s="1"/>
  <c r="G56" i="16"/>
  <c r="H56" s="1"/>
  <c r="G58"/>
  <c r="H58" s="1"/>
  <c r="H13"/>
  <c r="G55"/>
  <c r="H55" s="1"/>
  <c r="G48"/>
  <c r="G57"/>
  <c r="H57" s="1"/>
  <c r="G50"/>
  <c r="H12"/>
  <c r="AB105" i="7" l="1"/>
  <c r="AD104"/>
  <c r="AG104" s="1"/>
  <c r="H77" i="16"/>
  <c r="V80" i="7"/>
  <c r="Q82"/>
  <c r="S81"/>
  <c r="J126" i="17"/>
  <c r="AB106" i="7" l="1"/>
  <c r="AD105"/>
  <c r="AG105" s="1"/>
  <c r="H78" i="16"/>
  <c r="V81" i="7"/>
  <c r="Q83"/>
  <c r="S82"/>
  <c r="AB107" l="1"/>
  <c r="AD106"/>
  <c r="AG106" s="1"/>
  <c r="V82"/>
  <c r="H79" i="16"/>
  <c r="S83" i="7"/>
  <c r="Q84"/>
  <c r="G91"/>
  <c r="J91" s="1"/>
  <c r="G90"/>
  <c r="J90" s="1"/>
  <c r="G89"/>
  <c r="J89" s="1"/>
  <c r="F62"/>
  <c r="G62" s="1"/>
  <c r="J62" s="1"/>
  <c r="F61"/>
  <c r="G61" s="1"/>
  <c r="J61" s="1"/>
  <c r="F60"/>
  <c r="G60" s="1"/>
  <c r="J60" s="1"/>
  <c r="S84" l="1"/>
  <c r="Q85"/>
  <c r="S85" s="1"/>
  <c r="V85" s="1"/>
  <c r="AB108"/>
  <c r="AD107"/>
  <c r="AG107" s="1"/>
  <c r="Q86"/>
  <c r="V83"/>
  <c r="H80" i="16"/>
  <c r="J92" i="7"/>
  <c r="AB109" l="1"/>
  <c r="AD108"/>
  <c r="AG108" s="1"/>
  <c r="G5" i="18"/>
  <c r="V84" i="7"/>
  <c r="H81" i="16"/>
  <c r="Q94" i="7"/>
  <c r="S86"/>
  <c r="AB110" l="1"/>
  <c r="AD109"/>
  <c r="AG109" s="1"/>
  <c r="H82" i="16"/>
  <c r="V86" i="7"/>
  <c r="Q95"/>
  <c r="S94"/>
  <c r="V87" l="1"/>
  <c r="AB111"/>
  <c r="AD110"/>
  <c r="AG110" s="1"/>
  <c r="V94"/>
  <c r="H90" i="16"/>
  <c r="Q96" i="7"/>
  <c r="S95"/>
  <c r="E11"/>
  <c r="E12"/>
  <c r="F6" i="18" l="1"/>
  <c r="AB112" i="7"/>
  <c r="AD111"/>
  <c r="AG111" s="1"/>
  <c r="V95"/>
  <c r="H92" i="16"/>
  <c r="Q99" i="7"/>
  <c r="S96"/>
  <c r="F41"/>
  <c r="G41" s="1"/>
  <c r="J41" s="1"/>
  <c r="F50"/>
  <c r="AI50" s="1"/>
  <c r="F39"/>
  <c r="G39" s="1"/>
  <c r="F27"/>
  <c r="F31"/>
  <c r="F21"/>
  <c r="F49"/>
  <c r="AI49" s="1"/>
  <c r="F26"/>
  <c r="F30"/>
  <c r="F40"/>
  <c r="G8"/>
  <c r="J8" s="1"/>
  <c r="AK8" s="1"/>
  <c r="F12"/>
  <c r="F59" s="1"/>
  <c r="G59" s="1"/>
  <c r="J59" s="1"/>
  <c r="F33"/>
  <c r="F42"/>
  <c r="G42" s="1"/>
  <c r="J42" s="1"/>
  <c r="F34"/>
  <c r="F53"/>
  <c r="AI53" s="1"/>
  <c r="F43"/>
  <c r="G43" s="1"/>
  <c r="J43" s="1"/>
  <c r="F28"/>
  <c r="F29"/>
  <c r="F11"/>
  <c r="F51" s="1"/>
  <c r="F36"/>
  <c r="F25"/>
  <c r="F52"/>
  <c r="AI52" s="1"/>
  <c r="F38"/>
  <c r="F23"/>
  <c r="F24"/>
  <c r="F54"/>
  <c r="G54" s="1"/>
  <c r="J54" s="1"/>
  <c r="F32"/>
  <c r="F37"/>
  <c r="F10"/>
  <c r="F35"/>
  <c r="F9"/>
  <c r="AJ9" s="1"/>
  <c r="F55"/>
  <c r="F22"/>
  <c r="AB113" l="1"/>
  <c r="AD112"/>
  <c r="AG112" s="1"/>
  <c r="V96"/>
  <c r="H93" i="16"/>
  <c r="E69" i="7"/>
  <c r="Q100"/>
  <c r="S99"/>
  <c r="G53"/>
  <c r="J53" s="1"/>
  <c r="G52"/>
  <c r="J52" s="1"/>
  <c r="G40"/>
  <c r="J40" s="1"/>
  <c r="AJ40" s="1"/>
  <c r="G49"/>
  <c r="F56"/>
  <c r="G56" s="1"/>
  <c r="J56" s="1"/>
  <c r="F57"/>
  <c r="G57" s="1"/>
  <c r="J57" s="1"/>
  <c r="J39"/>
  <c r="AJ39" s="1"/>
  <c r="F58"/>
  <c r="G58" s="1"/>
  <c r="J58" s="1"/>
  <c r="G51"/>
  <c r="J51" s="1"/>
  <c r="AK51" s="1"/>
  <c r="G50" l="1"/>
  <c r="J50" s="1"/>
  <c r="AK50" s="1"/>
  <c r="AM50" s="1"/>
  <c r="AB114"/>
  <c r="AB117"/>
  <c r="AD113"/>
  <c r="AG113" s="1"/>
  <c r="E70"/>
  <c r="V97"/>
  <c r="H96" i="16"/>
  <c r="V99" i="7"/>
  <c r="Q101"/>
  <c r="S100"/>
  <c r="AK53"/>
  <c r="J49"/>
  <c r="AK49" s="1"/>
  <c r="E10"/>
  <c r="AM51"/>
  <c r="G11"/>
  <c r="G69" l="1"/>
  <c r="J69" s="1"/>
  <c r="AK52"/>
  <c r="AL64" s="1"/>
  <c r="AO142" s="1"/>
  <c r="AO144" s="1"/>
  <c r="AI70"/>
  <c r="AM53"/>
  <c r="J64"/>
  <c r="AJ64" s="1"/>
  <c r="AD114"/>
  <c r="AG114" s="1"/>
  <c r="AG115" s="1"/>
  <c r="AD117"/>
  <c r="AG117" s="1"/>
  <c r="AB118"/>
  <c r="H6" i="18"/>
  <c r="V100" i="7"/>
  <c r="H97" i="16"/>
  <c r="G70" i="7"/>
  <c r="J70" s="1"/>
  <c r="E71"/>
  <c r="Q104"/>
  <c r="S101"/>
  <c r="G29"/>
  <c r="G22"/>
  <c r="G23"/>
  <c r="G24"/>
  <c r="G25"/>
  <c r="G26"/>
  <c r="G27"/>
  <c r="G28"/>
  <c r="G30"/>
  <c r="G31"/>
  <c r="G32"/>
  <c r="G33"/>
  <c r="G34"/>
  <c r="G21"/>
  <c r="AK64" l="1"/>
  <c r="AI65"/>
  <c r="AK69"/>
  <c r="AK70"/>
  <c r="AM70" s="1"/>
  <c r="AM52"/>
  <c r="AI71"/>
  <c r="J7" i="18"/>
  <c r="AB119" i="7"/>
  <c r="AD118"/>
  <c r="AG118" s="1"/>
  <c r="D5" i="18"/>
  <c r="V101" i="7"/>
  <c r="H98" i="16"/>
  <c r="S104" i="7"/>
  <c r="Q105"/>
  <c r="E72"/>
  <c r="J34"/>
  <c r="AJ34" s="1"/>
  <c r="J32"/>
  <c r="AJ32" s="1"/>
  <c r="J30"/>
  <c r="AJ30" s="1"/>
  <c r="J25"/>
  <c r="AJ25" s="1"/>
  <c r="J23"/>
  <c r="AJ23" s="1"/>
  <c r="J29"/>
  <c r="AJ29" s="1"/>
  <c r="J33"/>
  <c r="AJ33" s="1"/>
  <c r="J31"/>
  <c r="AJ31" s="1"/>
  <c r="J28"/>
  <c r="AJ28" s="1"/>
  <c r="J26"/>
  <c r="AJ26" s="1"/>
  <c r="J24"/>
  <c r="AJ24" s="1"/>
  <c r="J22"/>
  <c r="AJ22" s="1"/>
  <c r="J27"/>
  <c r="AJ27" s="1"/>
  <c r="G71" l="1"/>
  <c r="J71" s="1"/>
  <c r="AI72"/>
  <c r="E73"/>
  <c r="AI73" s="1"/>
  <c r="V102"/>
  <c r="AB120"/>
  <c r="AD119"/>
  <c r="AG119" s="1"/>
  <c r="Q106"/>
  <c r="S105"/>
  <c r="G72"/>
  <c r="J72" s="1"/>
  <c r="AK72" s="1"/>
  <c r="E76"/>
  <c r="H100" i="16"/>
  <c r="V104" i="7"/>
  <c r="G14"/>
  <c r="G36"/>
  <c r="G9"/>
  <c r="G55"/>
  <c r="J55" s="1"/>
  <c r="G63"/>
  <c r="J63" s="1"/>
  <c r="J21"/>
  <c r="AJ21" s="1"/>
  <c r="G35"/>
  <c r="G37"/>
  <c r="G38"/>
  <c r="AK71" l="1"/>
  <c r="AI76"/>
  <c r="I6" i="18"/>
  <c r="G76" i="7"/>
  <c r="J76" s="1"/>
  <c r="AK76" s="1"/>
  <c r="AM76" s="1"/>
  <c r="AB121"/>
  <c r="AD120"/>
  <c r="AG120" s="1"/>
  <c r="H101" i="16"/>
  <c r="V105" i="7"/>
  <c r="S106"/>
  <c r="Q107"/>
  <c r="E77"/>
  <c r="J38"/>
  <c r="AJ38" s="1"/>
  <c r="J35"/>
  <c r="AJ35" s="1"/>
  <c r="J37"/>
  <c r="AJ37" s="1"/>
  <c r="J36"/>
  <c r="AJ36" s="1"/>
  <c r="J9"/>
  <c r="AK9" s="1"/>
  <c r="AK16" s="1"/>
  <c r="G12"/>
  <c r="J12" s="1"/>
  <c r="J14"/>
  <c r="J13"/>
  <c r="J11"/>
  <c r="G10"/>
  <c r="AM71" l="1"/>
  <c r="AK74"/>
  <c r="AL75" s="1"/>
  <c r="AI77"/>
  <c r="G73"/>
  <c r="J73" s="1"/>
  <c r="AM72"/>
  <c r="AJ44"/>
  <c r="AJ46" s="1"/>
  <c r="AB122"/>
  <c r="AD121"/>
  <c r="AG121" s="1"/>
  <c r="E78"/>
  <c r="S107"/>
  <c r="Q108"/>
  <c r="V106"/>
  <c r="H102" i="16"/>
  <c r="J44" i="7"/>
  <c r="AJ45" s="1"/>
  <c r="J10"/>
  <c r="AK10" s="1"/>
  <c r="AK73" l="1"/>
  <c r="AM73" s="1"/>
  <c r="AI78"/>
  <c r="G77"/>
  <c r="J77" s="1"/>
  <c r="J74"/>
  <c r="AJ74" s="1"/>
  <c r="AD122"/>
  <c r="AG122" s="1"/>
  <c r="AB123"/>
  <c r="C5" i="18"/>
  <c r="S108" i="7"/>
  <c r="Q109"/>
  <c r="H103" i="16"/>
  <c r="V107" i="7"/>
  <c r="G78"/>
  <c r="J78" s="1"/>
  <c r="AK78" s="1"/>
  <c r="AM78" s="1"/>
  <c r="E79"/>
  <c r="J16"/>
  <c r="AJ16" s="1"/>
  <c r="AM77" l="1"/>
  <c r="AK77"/>
  <c r="AI79"/>
  <c r="E5" i="18"/>
  <c r="E80" i="7"/>
  <c r="AD123"/>
  <c r="AG123" s="1"/>
  <c r="AB124"/>
  <c r="B5" i="18"/>
  <c r="G79" i="7"/>
  <c r="J79" s="1"/>
  <c r="AK79" s="1"/>
  <c r="AM79" s="1"/>
  <c r="S109"/>
  <c r="Q110"/>
  <c r="V108"/>
  <c r="H104" i="16"/>
  <c r="J65" i="7"/>
  <c r="AI80" l="1"/>
  <c r="AB125"/>
  <c r="AD124"/>
  <c r="AG124" s="1"/>
  <c r="V109"/>
  <c r="H105" i="16"/>
  <c r="S110" i="7"/>
  <c r="Q111"/>
  <c r="AB126" l="1"/>
  <c r="AD125"/>
  <c r="AG125" s="1"/>
  <c r="S111"/>
  <c r="Q112"/>
  <c r="V110"/>
  <c r="H106" i="16"/>
  <c r="E81" i="7"/>
  <c r="G80"/>
  <c r="J80" s="1"/>
  <c r="AK80" s="1"/>
  <c r="AM80" s="1"/>
  <c r="AI81" l="1"/>
  <c r="AD126"/>
  <c r="AG126" s="1"/>
  <c r="AB127"/>
  <c r="Q113"/>
  <c r="S112"/>
  <c r="E82"/>
  <c r="V111"/>
  <c r="H107" i="16"/>
  <c r="G81" i="7" l="1"/>
  <c r="J81" s="1"/>
  <c r="AK81" s="1"/>
  <c r="AM81" s="1"/>
  <c r="AI82"/>
  <c r="AD127"/>
  <c r="AG127" s="1"/>
  <c r="AB128"/>
  <c r="E83"/>
  <c r="G82"/>
  <c r="J82" s="1"/>
  <c r="AK82" s="1"/>
  <c r="AM82" s="1"/>
  <c r="H108" i="16"/>
  <c r="V112" i="7"/>
  <c r="Q114"/>
  <c r="S113"/>
  <c r="Q117"/>
  <c r="AI83" l="1"/>
  <c r="AB129"/>
  <c r="AD128"/>
  <c r="AG128" s="1"/>
  <c r="S117"/>
  <c r="Q118"/>
  <c r="V113"/>
  <c r="H109" i="16"/>
  <c r="E84" i="7"/>
  <c r="E85" s="1"/>
  <c r="G83"/>
  <c r="J83" s="1"/>
  <c r="AK83" s="1"/>
  <c r="AM83" s="1"/>
  <c r="S114"/>
  <c r="V114" s="1"/>
  <c r="G85" l="1"/>
  <c r="J85" s="1"/>
  <c r="AK85" s="1"/>
  <c r="AM85" s="1"/>
  <c r="AI85"/>
  <c r="AI84"/>
  <c r="AB130"/>
  <c r="AD129"/>
  <c r="AG129" s="1"/>
  <c r="S118"/>
  <c r="V118" s="1"/>
  <c r="Q119"/>
  <c r="H111" i="16"/>
  <c r="V117" i="7"/>
  <c r="V115"/>
  <c r="E86"/>
  <c r="G84" l="1"/>
  <c r="J84" s="1"/>
  <c r="AK84" s="1"/>
  <c r="AM84" s="1"/>
  <c r="AI86"/>
  <c r="AB131"/>
  <c r="AD130"/>
  <c r="AG130" s="1"/>
  <c r="J6" i="18"/>
  <c r="S119" i="7"/>
  <c r="V119" s="1"/>
  <c r="Q120"/>
  <c r="H112" i="16"/>
  <c r="E94" i="7"/>
  <c r="AI94" s="1"/>
  <c r="G86"/>
  <c r="J86" s="1"/>
  <c r="AK86" s="1"/>
  <c r="AM86" s="1"/>
  <c r="AD131" l="1"/>
  <c r="AG131" s="1"/>
  <c r="AB132"/>
  <c r="AK87"/>
  <c r="AM87" s="1"/>
  <c r="AB133"/>
  <c r="J87"/>
  <c r="AJ87" s="1"/>
  <c r="H113" i="16"/>
  <c r="E95" i="7"/>
  <c r="AI95" s="1"/>
  <c r="G94"/>
  <c r="J94" s="1"/>
  <c r="AK94" s="1"/>
  <c r="Q121"/>
  <c r="S120"/>
  <c r="V120" s="1"/>
  <c r="AD132" l="1"/>
  <c r="AG132" s="1"/>
  <c r="AD133"/>
  <c r="AG133" s="1"/>
  <c r="AB134"/>
  <c r="F5" i="18"/>
  <c r="Q122" i="7"/>
  <c r="S121"/>
  <c r="V121" s="1"/>
  <c r="E96"/>
  <c r="AI96" s="1"/>
  <c r="G95"/>
  <c r="J95" s="1"/>
  <c r="H114" i="16"/>
  <c r="AD134" i="7" l="1"/>
  <c r="AG134" s="1"/>
  <c r="AB135"/>
  <c r="H115" i="16"/>
  <c r="E99" i="7"/>
  <c r="G96"/>
  <c r="J96" s="1"/>
  <c r="S122"/>
  <c r="V122" s="1"/>
  <c r="Q123"/>
  <c r="J97" l="1"/>
  <c r="AJ98" s="1"/>
  <c r="AK96"/>
  <c r="AK97" s="1"/>
  <c r="AL98" s="1"/>
  <c r="AI99"/>
  <c r="AB136"/>
  <c r="AD135"/>
  <c r="AG135" s="1"/>
  <c r="S123"/>
  <c r="V123" s="1"/>
  <c r="Q124"/>
  <c r="G99"/>
  <c r="J99" s="1"/>
  <c r="AK99" s="1"/>
  <c r="E100"/>
  <c r="H116" i="16"/>
  <c r="AI100" i="7" l="1"/>
  <c r="AB137"/>
  <c r="AD136"/>
  <c r="AG136" s="1"/>
  <c r="H5" i="18"/>
  <c r="E101" i="7"/>
  <c r="Q125"/>
  <c r="AI125" s="1"/>
  <c r="S124"/>
  <c r="V124" s="1"/>
  <c r="H117" i="16"/>
  <c r="G100" i="7" l="1"/>
  <c r="J100" s="1"/>
  <c r="AK100" s="1"/>
  <c r="AI101"/>
  <c r="AB138"/>
  <c r="AD137"/>
  <c r="AG137" s="1"/>
  <c r="H118" i="16"/>
  <c r="S125" i="7"/>
  <c r="V125" s="1"/>
  <c r="Q126"/>
  <c r="E104"/>
  <c r="AJ104" s="1"/>
  <c r="G101"/>
  <c r="J101" s="1"/>
  <c r="AK101" s="1"/>
  <c r="AK102" l="1"/>
  <c r="AM102" s="1"/>
  <c r="J102"/>
  <c r="AJ102" s="1"/>
  <c r="AB141"/>
  <c r="AD138"/>
  <c r="AG138" s="1"/>
  <c r="AB139"/>
  <c r="Q127"/>
  <c r="S126"/>
  <c r="V126" s="1"/>
  <c r="H119" i="16"/>
  <c r="E105" i="7"/>
  <c r="AJ105" s="1"/>
  <c r="AD141" l="1"/>
  <c r="AG141" s="1"/>
  <c r="AD139"/>
  <c r="AG139" s="1"/>
  <c r="AB140"/>
  <c r="I5" i="18"/>
  <c r="G104" i="7"/>
  <c r="J104" s="1"/>
  <c r="AK104" s="1"/>
  <c r="E106"/>
  <c r="AJ106" s="1"/>
  <c r="H120" i="16"/>
  <c r="Q128" i="7"/>
  <c r="S127"/>
  <c r="V127" s="1"/>
  <c r="AL104" l="1"/>
  <c r="AD140"/>
  <c r="AG140" s="1"/>
  <c r="AG142" s="1"/>
  <c r="AG143" s="1"/>
  <c r="AG144" s="1"/>
  <c r="AG146" s="1"/>
  <c r="H121" i="16"/>
  <c r="E107" i="7"/>
  <c r="AJ107" s="1"/>
  <c r="S128"/>
  <c r="V128" s="1"/>
  <c r="Q129"/>
  <c r="G105"/>
  <c r="J105" s="1"/>
  <c r="AK105" l="1"/>
  <c r="K7" i="18"/>
  <c r="L7" s="1"/>
  <c r="N7" s="1"/>
  <c r="G106" i="7"/>
  <c r="J106" s="1"/>
  <c r="AK106" s="1"/>
  <c r="Q130"/>
  <c r="S129"/>
  <c r="V129" s="1"/>
  <c r="E108"/>
  <c r="AJ108" s="1"/>
  <c r="H122" i="16"/>
  <c r="AL105" i="7" l="1"/>
  <c r="AL106"/>
  <c r="G107"/>
  <c r="J107" s="1"/>
  <c r="AK107" s="1"/>
  <c r="E109"/>
  <c r="AJ109" s="1"/>
  <c r="H123" i="16"/>
  <c r="S130" i="7"/>
  <c r="V130" s="1"/>
  <c r="Q131"/>
  <c r="Q132" l="1"/>
  <c r="E110"/>
  <c r="AJ110" s="1"/>
  <c r="S131"/>
  <c r="V131" s="1"/>
  <c r="H124" i="16"/>
  <c r="G108" i="7"/>
  <c r="J108" s="1"/>
  <c r="AK108" s="1"/>
  <c r="AL108" l="1"/>
  <c r="Q133"/>
  <c r="AL107"/>
  <c r="E111"/>
  <c r="AJ111" s="1"/>
  <c r="G109"/>
  <c r="J109" s="1"/>
  <c r="AK109" s="1"/>
  <c r="H125" i="16"/>
  <c r="S133" i="7" l="1"/>
  <c r="V133" s="1"/>
  <c r="Q134"/>
  <c r="S132"/>
  <c r="V132" s="1"/>
  <c r="G110"/>
  <c r="J110" s="1"/>
  <c r="AK110" s="1"/>
  <c r="E112"/>
  <c r="AJ112" s="1"/>
  <c r="H126" i="16" l="1"/>
  <c r="AL110" i="7"/>
  <c r="Q135"/>
  <c r="AL109"/>
  <c r="E113"/>
  <c r="AJ113" s="1"/>
  <c r="G111"/>
  <c r="J111" s="1"/>
  <c r="S134" l="1"/>
  <c r="V134" s="1"/>
  <c r="AK111"/>
  <c r="AL111" s="1"/>
  <c r="S135"/>
  <c r="V135" s="1"/>
  <c r="Q136"/>
  <c r="E117"/>
  <c r="E114"/>
  <c r="AJ114" s="1"/>
  <c r="G112"/>
  <c r="J112" s="1"/>
  <c r="AK112" s="1"/>
  <c r="S136" l="1"/>
  <c r="V136" s="1"/>
  <c r="H127" i="16"/>
  <c r="H128"/>
  <c r="AL112" i="7"/>
  <c r="Q137"/>
  <c r="E118"/>
  <c r="G113"/>
  <c r="J113" s="1"/>
  <c r="H129" i="16" l="1"/>
  <c r="G117" i="7"/>
  <c r="J117" s="1"/>
  <c r="AK117" s="1"/>
  <c r="AM117" s="1"/>
  <c r="AI117"/>
  <c r="AK113"/>
  <c r="AL113" s="1"/>
  <c r="S137"/>
  <c r="V137" s="1"/>
  <c r="AI118"/>
  <c r="Q138"/>
  <c r="G118"/>
  <c r="J118" s="1"/>
  <c r="AK118" s="1"/>
  <c r="AM118" s="1"/>
  <c r="E119"/>
  <c r="G114"/>
  <c r="J114" s="1"/>
  <c r="AK114" s="1"/>
  <c r="AK115" s="1"/>
  <c r="S138" l="1"/>
  <c r="V138" s="1"/>
  <c r="H130" i="16"/>
  <c r="AI119" i="7"/>
  <c r="J115"/>
  <c r="AJ115" s="1"/>
  <c r="Q139"/>
  <c r="Q141"/>
  <c r="E120"/>
  <c r="AM116" l="1"/>
  <c r="AI120"/>
  <c r="H131" i="16"/>
  <c r="G119" i="7"/>
  <c r="J119" s="1"/>
  <c r="AK119" s="1"/>
  <c r="AM119" s="1"/>
  <c r="AL114"/>
  <c r="Q140"/>
  <c r="J5" i="18"/>
  <c r="S140" i="7"/>
  <c r="E121"/>
  <c r="S141" l="1"/>
  <c r="H132" i="16" s="1"/>
  <c r="S139" i="7"/>
  <c r="V139" s="1"/>
  <c r="G120"/>
  <c r="J120" s="1"/>
  <c r="AK120" s="1"/>
  <c r="AM120" s="1"/>
  <c r="L4"/>
  <c r="AI121"/>
  <c r="V140"/>
  <c r="E122"/>
  <c r="V141" l="1"/>
  <c r="AI122"/>
  <c r="G121"/>
  <c r="J121" s="1"/>
  <c r="AK121" s="1"/>
  <c r="AM121" s="1"/>
  <c r="G122"/>
  <c r="J122" s="1"/>
  <c r="AK122" s="1"/>
  <c r="AM122" s="1"/>
  <c r="E123"/>
  <c r="V142" l="1"/>
  <c r="K6" i="18" s="1"/>
  <c r="L6" s="1"/>
  <c r="N6" s="1"/>
  <c r="AI123" i="7"/>
  <c r="E124"/>
  <c r="V143" l="1"/>
  <c r="V144" s="1"/>
  <c r="V146" s="1"/>
  <c r="G123"/>
  <c r="J123" s="1"/>
  <c r="AK123" s="1"/>
  <c r="AM123" s="1"/>
  <c r="G124" l="1"/>
  <c r="J124" s="1"/>
  <c r="AK124" s="1"/>
  <c r="AM124" s="1"/>
  <c r="AI124"/>
  <c r="G125"/>
  <c r="J125" s="1"/>
  <c r="E126"/>
  <c r="D126" s="1"/>
  <c r="AI126" s="1"/>
  <c r="AK125" l="1"/>
  <c r="G126"/>
  <c r="J126" s="1"/>
  <c r="AK126" s="1"/>
  <c r="AM126" s="1"/>
  <c r="E127"/>
  <c r="D127" s="1"/>
  <c r="AI127" s="1"/>
  <c r="AM125" l="1"/>
  <c r="AM49"/>
  <c r="AN125" s="1"/>
  <c r="G127"/>
  <c r="J127" s="1"/>
  <c r="AK127" s="1"/>
  <c r="AM127" s="1"/>
  <c r="E128"/>
  <c r="D128" s="1"/>
  <c r="AI128" s="1"/>
  <c r="G128" l="1"/>
  <c r="J128" s="1"/>
  <c r="AK128" s="1"/>
  <c r="AM128" s="1"/>
  <c r="E129"/>
  <c r="D129" s="1"/>
  <c r="AI129" s="1"/>
  <c r="G129" l="1"/>
  <c r="J129" s="1"/>
  <c r="AK129" s="1"/>
  <c r="E130"/>
  <c r="D130" s="1"/>
  <c r="AI130" s="1"/>
  <c r="AM129" l="1"/>
  <c r="E131"/>
  <c r="D131" s="1"/>
  <c r="AI131" s="1"/>
  <c r="G130"/>
  <c r="J130" s="1"/>
  <c r="AK130" s="1"/>
  <c r="AM130" l="1"/>
  <c r="E132"/>
  <c r="D132" s="1"/>
  <c r="AI132" s="1"/>
  <c r="G131"/>
  <c r="J131" s="1"/>
  <c r="AK131" s="1"/>
  <c r="AM131" l="1"/>
  <c r="E133"/>
  <c r="D133" s="1"/>
  <c r="AI133" s="1"/>
  <c r="G133" l="1"/>
  <c r="J133" s="1"/>
  <c r="AK133" s="1"/>
  <c r="AM133" s="1"/>
  <c r="E134"/>
  <c r="D134" s="1"/>
  <c r="AI134" s="1"/>
  <c r="G132"/>
  <c r="J132" s="1"/>
  <c r="AK132" s="1"/>
  <c r="AM142" l="1"/>
  <c r="AM144" s="1"/>
  <c r="AM132"/>
  <c r="E135"/>
  <c r="D135" s="1"/>
  <c r="AI135" s="1"/>
  <c r="G135"/>
  <c r="J135" s="1"/>
  <c r="AK135" s="1"/>
  <c r="AM135" s="1"/>
  <c r="G134"/>
  <c r="J134" s="1"/>
  <c r="AK134" s="1"/>
  <c r="AM134" s="1"/>
  <c r="E136"/>
  <c r="D136" s="1"/>
  <c r="AI136" s="1"/>
  <c r="G136" l="1"/>
  <c r="J136" s="1"/>
  <c r="AK136" s="1"/>
  <c r="AM136" s="1"/>
  <c r="E137"/>
  <c r="D137" s="1"/>
  <c r="AI137" s="1"/>
  <c r="G137" l="1"/>
  <c r="J137" s="1"/>
  <c r="AK137" s="1"/>
  <c r="AM137" s="1"/>
  <c r="E138"/>
  <c r="D138" s="1"/>
  <c r="AI138" s="1"/>
  <c r="G138" l="1"/>
  <c r="J138" s="1"/>
  <c r="AK138" s="1"/>
  <c r="AM138" s="1"/>
  <c r="E139"/>
  <c r="D139" s="1"/>
  <c r="AI139" s="1"/>
  <c r="E141"/>
  <c r="D141" s="1"/>
  <c r="AI141" s="1"/>
  <c r="G141" l="1"/>
  <c r="J141" s="1"/>
  <c r="AK141" s="1"/>
  <c r="E140"/>
  <c r="D140" s="1"/>
  <c r="AI140" s="1"/>
  <c r="G139"/>
  <c r="J139" s="1"/>
  <c r="AK139" s="1"/>
  <c r="AM139" s="1"/>
  <c r="AM141" l="1"/>
  <c r="G140"/>
  <c r="J140" s="1"/>
  <c r="AK140" s="1"/>
  <c r="AM140" s="1"/>
  <c r="J142" l="1"/>
  <c r="AJ142" s="1"/>
  <c r="AK142"/>
  <c r="K5" i="18" l="1"/>
  <c r="L5" s="1"/>
  <c r="N5" s="1"/>
  <c r="J143" i="7"/>
  <c r="J144" s="1"/>
  <c r="AH145" l="1"/>
  <c r="AH149" s="1"/>
  <c r="W146"/>
  <c r="J146"/>
  <c r="AG147" s="1"/>
  <c r="N8" i="18"/>
  <c r="N12" s="1"/>
</calcChain>
</file>

<file path=xl/sharedStrings.xml><?xml version="1.0" encoding="utf-8"?>
<sst xmlns="http://schemas.openxmlformats.org/spreadsheetml/2006/main" count="1050" uniqueCount="250">
  <si>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</si>
  <si>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</si>
  <si>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</si>
  <si>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</si>
  <si>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</si>
  <si>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</si>
  <si>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</si>
  <si>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</si>
  <si>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</si>
  <si>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</si>
  <si>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</si>
  <si>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</si>
  <si>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</si>
  <si>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</si>
  <si>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</si>
  <si>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</si>
  <si>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</si>
  <si>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Техническое обслуживание и регламентно-профилактический ремонт систем охранно-тревожной сигнализации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</si>
  <si>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</si>
  <si>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</si>
  <si>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</si>
  <si>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</si>
  <si>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</si>
  <si>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</si>
  <si>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</si>
  <si>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</si>
  <si>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</si>
  <si>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</si>
  <si>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</si>
  <si>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</si>
  <si>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</si>
  <si>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</si>
  <si>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</si>
  <si>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</si>
  <si>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</si>
  <si>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</si>
  <si>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</si>
  <si>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</si>
  <si>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</si>
  <si>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</si>
  <si>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</si>
  <si>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</si>
  <si>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</si>
  <si>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</si>
  <si>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</si>
  <si>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</si>
  <si>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Директор</t>
  </si>
  <si>
    <t>Зам.директора</t>
  </si>
  <si>
    <t>Рабочий по обслуживанию и ремонту зданий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</si>
  <si>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</si>
  <si>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</si>
  <si>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</si>
  <si>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</si>
  <si>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</si>
  <si>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8=5*7/6</t>
  </si>
  <si>
    <t>Срок полезного использования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</si>
  <si>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</si>
  <si>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</si>
  <si>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</si>
  <si>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</si>
  <si>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</si>
  <si>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</si>
  <si>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</si>
  <si>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</si>
  <si>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</si>
  <si>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</si>
  <si>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 xml:space="preserve"> </t>
  </si>
  <si>
    <t>Срок полезного использования, лет</t>
  </si>
  <si>
    <t>Цена единицы  ресурса, руб</t>
  </si>
  <si>
    <t>Тариф (Цена), руб</t>
  </si>
  <si>
    <t>Педагог дополнительного образования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</si>
  <si>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</si>
  <si>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</si>
  <si>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</si>
  <si>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</si>
  <si>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</si>
  <si>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</si>
  <si>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</si>
  <si>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</si>
  <si>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</si>
  <si>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</si>
  <si>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</si>
  <si>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</si>
  <si>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Клей канцелярский</t>
  </si>
  <si>
    <t>картридж</t>
  </si>
  <si>
    <t>тонер</t>
  </si>
  <si>
    <t>Оплата грузовых перевозок по доставке грузов</t>
  </si>
  <si>
    <t>Оплата проезда работников в командировку и обратно</t>
  </si>
  <si>
    <t>Норма времени</t>
  </si>
  <si>
    <t>Гардеробщик</t>
  </si>
  <si>
    <t>Строж</t>
  </si>
  <si>
    <t>Дворник</t>
  </si>
  <si>
    <t>Методист</t>
  </si>
  <si>
    <t>часов в год на 1 группу</t>
  </si>
  <si>
    <t>Стоимость 1ч.-часа ресурса, руб</t>
  </si>
  <si>
    <t>Норма шт.единиц</t>
  </si>
  <si>
    <t>Набор файлов (100шт.)</t>
  </si>
  <si>
    <t>Фотобумага</t>
  </si>
  <si>
    <t>медосмотр (пед работники)</t>
  </si>
  <si>
    <t>командировочные расходы педработников</t>
  </si>
  <si>
    <t>Участие воспитанников в различных мероприятиях за пределами района (проезд, проживание, питание)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</si>
  <si>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</si>
  <si>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</si>
  <si>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</si>
  <si>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</si>
  <si>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</si>
  <si>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</si>
  <si>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</si>
  <si>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</si>
  <si>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</si>
  <si>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Продление лицензии программного обеспечения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</si>
  <si>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</si>
  <si>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</si>
  <si>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</si>
  <si>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</si>
  <si>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Наименованиеимуниципальной услуги</t>
  </si>
  <si>
    <t>человек</t>
  </si>
  <si>
    <t>раб.недель</t>
  </si>
  <si>
    <t>Спортсмен-инструктор</t>
  </si>
  <si>
    <t>Скобы для степлера</t>
  </si>
  <si>
    <t>Канцелярские скрепки, булавки</t>
  </si>
  <si>
    <t>Набор маркеров</t>
  </si>
  <si>
    <t>Прочие журналы регистрации</t>
  </si>
  <si>
    <t>Расходные материалы для лыж (мазь парафин, пробки)</t>
  </si>
  <si>
    <t>Питание участников мероприятий (соревнования)</t>
  </si>
  <si>
    <t>Уборка территории от снега, заливка катков</t>
  </si>
  <si>
    <t>Водитель</t>
  </si>
  <si>
    <t>Медосмотр административного  и младшего обслуживающего персонала</t>
  </si>
  <si>
    <t>Проведение военно-полевых сборов</t>
  </si>
  <si>
    <t>Подписка на периодические издания</t>
  </si>
  <si>
    <t>Горючесмазочные вещества</t>
  </si>
  <si>
    <t>Реализация дополнительных общеразвивающих программ (физкультурно-спортивная направленность)</t>
  </si>
  <si>
    <t>количество работников, чел.</t>
  </si>
  <si>
    <t>Обучение персонала</t>
  </si>
  <si>
    <t>Наименование муниципальной услуги</t>
  </si>
  <si>
    <t>Уникальный нормер реестровой записи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</si>
  <si>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</si>
  <si>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</si>
  <si>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</si>
  <si>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</si>
  <si>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1. Натуральные нормы, непосредственно связанных с оказанием муниципальной услуги</t>
  </si>
  <si>
    <t>1. Работники, непосредственно связанные с оказанием муниципальной услуги</t>
  </si>
  <si>
    <t>1.2. Материальные запасы иосновные средства, потребляемые в процессе оказания муниципальной услуги</t>
  </si>
  <si>
    <t>1.3. Иные натуральные нормы, непосредственно используемые в процессе оказания муниципальной услуги</t>
  </si>
  <si>
    <t>2.1. Коммунальные услуги</t>
  </si>
  <si>
    <t>2.2. Содержание объектов недвижимого имущества, необходимого для выполнения государственного задания</t>
  </si>
  <si>
    <t>2.3. Содержание объектов особо ценного движимого имущества, необходимого для выполнения муниципального задания</t>
  </si>
  <si>
    <t>2.4. Услуги связи</t>
  </si>
  <si>
    <t>2.5. Транспортные услуги</t>
  </si>
  <si>
    <t>2.6. Работники, которые не принимают непосредственного участия в оказании муниципальной услуги</t>
  </si>
  <si>
    <t>2.7. Прочие общехозяйственные нужды</t>
  </si>
  <si>
    <t>Реализация дополнительных общеразвивающих программ</t>
  </si>
  <si>
    <t>2. Натуральные нормы на общехозяйственные нужды</t>
  </si>
  <si>
    <t>шт</t>
  </si>
  <si>
    <t>шт.ед.</t>
  </si>
  <si>
    <t>чел.</t>
  </si>
  <si>
    <t>Значения натуральных норм, необходимых для определения базовых нормативов затрат на оказание муниципальных услуг</t>
  </si>
  <si>
    <t xml:space="preserve">В качестве стоимости 1ч.часа ресурса ресурса взят годовой фонд оплаты труда включая страховые взносы (9639000*1,302/21,67/1776,4)
</t>
  </si>
  <si>
    <t xml:space="preserve">В качестве стоимости 1ч.часа ресурса ресурса взят годовой фонд оплаты труда включая страховые взносы (378000*1,302/1776,4)
</t>
  </si>
  <si>
    <t>Расчет произведен на основе суммарного количества используемых материальных запасов</t>
  </si>
  <si>
    <t>Расчет произведен на основе суммарного количества используемых иных ресурсов и нормативного количества посещений</t>
  </si>
  <si>
    <t>Расчет произведен на основе годовых лимитов потребления коммунальных ресурсов и нормативного количества посещений</t>
  </si>
  <si>
    <t>договор (сумма в год)</t>
  </si>
  <si>
    <t>Ед.измерения</t>
  </si>
  <si>
    <t>Расчет произведен на основе суммарного количества заключаемых договоров и нормативного количества посещений</t>
  </si>
  <si>
    <t>Расчет произведен на основе суммарного количества оказываемых услуг и нормативного количества посещений</t>
  </si>
  <si>
    <t xml:space="preserve">Для расчета использован годовой фонд оплаты труда включая страховые взносы с учетом нормативного количества посещений
</t>
  </si>
  <si>
    <t>Гкал</t>
  </si>
  <si>
    <t>Для расчета прочих общехозяйственных расходов использовалось суммарное количество оказываемых услуг и нормативное количество посещений</t>
  </si>
  <si>
    <t xml:space="preserve">Расчет нормативных затрат на оказание муниципальной работы "Организация и проведение физкультурных и спортивных мероприятий в рамках Всероссийского физкультурно-спортивного комплекса "Готов к труду и обороне"(ГТО)"" </t>
  </si>
  <si>
    <t>Период выполнения работы: 1 месяц</t>
  </si>
  <si>
    <t>Среднее количество участников - 600 чел.</t>
  </si>
  <si>
    <t>договор (сумма в 1/2 месяца)</t>
  </si>
  <si>
    <t>договор (сумма на 1 месяц)</t>
  </si>
  <si>
    <t>Аптечка</t>
  </si>
  <si>
    <t>стоимость набора</t>
  </si>
  <si>
    <t>Приложение № 2 к распоряжению Управления образования администрации Северо-Енисейского района от __.__.2016 №___</t>
  </si>
  <si>
    <t>Услуги центра СЭС</t>
  </si>
  <si>
    <t>211, 213</t>
  </si>
  <si>
    <t>Зам.директора по АХЧ</t>
  </si>
  <si>
    <t>Зам.директора по уч восп. работе</t>
  </si>
  <si>
    <t>Канцелярия , запасные части к оргтехнике, автотранспорту</t>
  </si>
  <si>
    <t>223 ст</t>
  </si>
  <si>
    <t xml:space="preserve">Аварийно-диспетчерское обслуживание </t>
  </si>
  <si>
    <t xml:space="preserve">Поверка тепловодосчетчиков </t>
  </si>
  <si>
    <t>Годовое техобслуживание узлов учета тепловодоснабжения (ООО Теплоучет)</t>
  </si>
  <si>
    <t>ТО Автотранспорта</t>
  </si>
  <si>
    <t>Спецрейсы (спортивно-массовые мероприятия)</t>
  </si>
  <si>
    <t>Продукты питания</t>
  </si>
  <si>
    <t>Мягкий инвентарь (подушки , постельное )</t>
  </si>
  <si>
    <t xml:space="preserve"> (сумма в год)</t>
  </si>
  <si>
    <t>Средства индивидуальной защиты</t>
  </si>
  <si>
    <t>Услуги СЕМИС</t>
  </si>
  <si>
    <t>Экспертиза огнезащитной обработки</t>
  </si>
  <si>
    <t>Проведения испытаний устройств заземления и изоляции электросетей</t>
  </si>
  <si>
    <t xml:space="preserve">Обслуживание системы наружного видеонаблюдения </t>
  </si>
  <si>
    <t>Реализация дополнительных общеразвивающих программ (предпрофессиональная подготовка)</t>
  </si>
  <si>
    <t xml:space="preserve">046490000132027040511Г42002800300301001100101 </t>
  </si>
  <si>
    <t>Расходные материалы  (мазь парафин, пробки, шайбы, прочие)</t>
  </si>
  <si>
    <t>Промывка и опрессовка систем отопления</t>
  </si>
  <si>
    <t>Заместитель директора по учебно  воспитательной работе</t>
  </si>
  <si>
    <t>Уборщик служебных помещений</t>
  </si>
  <si>
    <t xml:space="preserve">В качестве стоимости 1ч.часа ресурса ресурса взят годовой фонд оплаты труда включая страховые взносы </t>
  </si>
  <si>
    <t xml:space="preserve">В качестве стоимости 1ч.часа ресурса ресурса взят годовой фонд оплаты труда включая страховые взносы 
</t>
  </si>
  <si>
    <t>Тренер- преподаватель</t>
  </si>
  <si>
    <t>Вахтер</t>
  </si>
  <si>
    <t>Организация военно-полевых сборов</t>
  </si>
  <si>
    <t>Аттестация условий рабочих мест</t>
  </si>
  <si>
    <t>Расчёт базового норматива затрат на оказание услуги "Реализация дополнительных предпрофессиональных программ в области физической культуры и спорта"</t>
  </si>
  <si>
    <t>Муниципальное бюджетное образовательное учреждение дополнительного образования "Северо-Енисейская детско-юношеская спортивная школа"</t>
  </si>
  <si>
    <t>Расчёт базового норматива затрат на оказание услуги "Реализация дополнительных общеразвивающих программ"</t>
  </si>
  <si>
    <t xml:space="preserve">Численность </t>
  </si>
  <si>
    <t xml:space="preserve">Расчетный объем финансирования </t>
  </si>
  <si>
    <t>14=13*12</t>
  </si>
  <si>
    <t>Утвержденный объем финансирования (611)</t>
  </si>
  <si>
    <t xml:space="preserve">Тренер </t>
  </si>
  <si>
    <t>Госпошлина</t>
  </si>
  <si>
    <t>Расчёт базового норматива затрат на оказание услуги "Спортивная подготовка по неолимпийским видам спорта"</t>
  </si>
  <si>
    <t>(САМБО)</t>
  </si>
  <si>
    <t>Сумма</t>
  </si>
  <si>
    <t>з/п</t>
  </si>
  <si>
    <t>ком-ки</t>
  </si>
  <si>
    <t>налоги</t>
  </si>
  <si>
    <t>связь</t>
  </si>
  <si>
    <t>транспорт</t>
  </si>
  <si>
    <t>коммуналка</t>
  </si>
  <si>
    <t>сод.им-ва</t>
  </si>
  <si>
    <t>прочие</t>
  </si>
  <si>
    <t>мат.запасы</t>
  </si>
  <si>
    <t>награждение участников</t>
  </si>
  <si>
    <t>м3</t>
  </si>
  <si>
    <t>Вывоз ТКО</t>
  </si>
  <si>
    <t>Испытания диэлектрических бот</t>
  </si>
  <si>
    <t>Замена технического паспорта</t>
  </si>
  <si>
    <t>Вывоз бытовых стоков</t>
  </si>
  <si>
    <t>Работы по замене гнутых поперечин на хоккейной коробке п. Тея</t>
  </si>
  <si>
    <t xml:space="preserve">Количество человеко-часов </t>
  </si>
  <si>
    <t>Количество человеко-часов</t>
  </si>
  <si>
    <t>Количество обучающихся</t>
  </si>
  <si>
    <t>проверка</t>
  </si>
  <si>
    <t>объем</t>
  </si>
  <si>
    <t>сумма в год</t>
  </si>
  <si>
    <t>Питание на военно-полевых сборах</t>
  </si>
  <si>
    <t>Проведение текущего ремонта (строительные материалы)</t>
  </si>
  <si>
    <t>Прочие материальные запасы</t>
  </si>
  <si>
    <t>канцеллярия</t>
  </si>
  <si>
    <t>Расходные материалы , запасные части к оргтехнике, автотранспорту</t>
  </si>
  <si>
    <r>
      <t xml:space="preserve">Свод нормативов затрат на выполнение  муниципального задания МБОУ  ДО "ДЮСШ"                                         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(к изменениям бюджетной росписи на 2021г)</t>
    </r>
  </si>
  <si>
    <t>Реализация дополнительных общеразвивающих программ (Спортивная подготовка по неолимпийским видам спорта)</t>
  </si>
  <si>
    <t>Проверка</t>
  </si>
</sst>
</file>

<file path=xl/styles.xml><?xml version="1.0" encoding="utf-8"?>
<styleSheet xmlns="http://schemas.openxmlformats.org/spreadsheetml/2006/main">
  <numFmts count="23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0.000000000"/>
    <numFmt numFmtId="172" formatCode="_-* #,##0_р_._-;\-* #,##0_р_._-;_-* &quot;-&quot;??_р_._-;_-@_-"/>
    <numFmt numFmtId="173" formatCode="_-* #,##0.000\ _₽_-;\-* #,##0.000\ _₽_-;_-* &quot;-&quot;???\ _₽_-;_-@_-"/>
    <numFmt numFmtId="174" formatCode="_-* #,##0.0000\ _₽_-;\-* #,##0.0000\ _₽_-;_-* &quot;-&quot;???\ _₽_-;_-@_-"/>
    <numFmt numFmtId="175" formatCode="#,##0.000000"/>
    <numFmt numFmtId="176" formatCode="#,##0.0000000"/>
    <numFmt numFmtId="177" formatCode="#,##0.000000000"/>
    <numFmt numFmtId="178" formatCode="_-* #,##0.000000_р_._-;\-* #,##0.000000_р_._-;_-* &quot;-&quot;??_р_._-;_-@_-"/>
    <numFmt numFmtId="179" formatCode="#,##0.00000"/>
    <numFmt numFmtId="180" formatCode="_-* #,##0.000000_р_._-;\-* #,##0.000000_р_._-;_-* &quot;-&quot;???_р_._-;_-@_-"/>
    <numFmt numFmtId="181" formatCode="_-* #,##0.0000000_р_._-;\-* #,##0.0000000_р_._-;_-* &quot;-&quot;??_р_._-;_-@_-"/>
    <numFmt numFmtId="182" formatCode="_-* #,##0.000000\ _₽_-;\-* #,##0.000000\ _₽_-;_-* &quot;-&quot;??\ _₽_-;_-@_-"/>
    <numFmt numFmtId="183" formatCode="#,##0.000"/>
    <numFmt numFmtId="184" formatCode="#,##0.00000000000000000"/>
    <numFmt numFmtId="185" formatCode="0.00000"/>
  </numFmts>
  <fonts count="32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4">
    <xf numFmtId="0" fontId="0" fillId="0" borderId="0"/>
    <xf numFmtId="0" fontId="4" fillId="0" borderId="0"/>
    <xf numFmtId="0" fontId="9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0" fillId="0" borderId="0" applyFont="0" applyFill="0" applyBorder="0" applyAlignment="0" applyProtection="0"/>
  </cellStyleXfs>
  <cellXfs count="506">
    <xf numFmtId="0" fontId="0" fillId="0" borderId="0" xfId="0"/>
    <xf numFmtId="0" fontId="1" fillId="4" borderId="1" xfId="0" applyFont="1" applyFill="1" applyBorder="1"/>
    <xf numFmtId="0" fontId="1" fillId="0" borderId="0" xfId="0" applyFont="1"/>
    <xf numFmtId="0" fontId="2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/>
    <xf numFmtId="0" fontId="2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2" fontId="7" fillId="3" borderId="1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3" borderId="1" xfId="0" applyFont="1" applyFill="1" applyBorder="1"/>
    <xf numFmtId="0" fontId="8" fillId="0" borderId="1" xfId="0" applyFont="1" applyBorder="1"/>
    <xf numFmtId="0" fontId="8" fillId="3" borderId="1" xfId="0" applyFont="1" applyFill="1" applyBorder="1" applyAlignment="1">
      <alignment wrapText="1"/>
    </xf>
    <xf numFmtId="0" fontId="10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7" fillId="0" borderId="2" xfId="0" applyFont="1" applyBorder="1" applyAlignment="1">
      <alignment wrapText="1"/>
    </xf>
    <xf numFmtId="0" fontId="13" fillId="6" borderId="7" xfId="1" applyFont="1" applyFill="1" applyBorder="1" applyAlignment="1" applyProtection="1">
      <alignment horizontal="left" vertical="center" wrapText="1"/>
      <protection locked="0"/>
    </xf>
    <xf numFmtId="0" fontId="13" fillId="6" borderId="11" xfId="1" applyFont="1" applyFill="1" applyBorder="1" applyAlignment="1" applyProtection="1">
      <alignment horizontal="left" vertical="center" wrapText="1"/>
      <protection locked="0"/>
    </xf>
    <xf numFmtId="0" fontId="13" fillId="6" borderId="1" xfId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center"/>
    </xf>
    <xf numFmtId="2" fontId="7" fillId="3" borderId="1" xfId="0" applyNumberFormat="1" applyFont="1" applyFill="1" applyBorder="1"/>
    <xf numFmtId="2" fontId="12" fillId="3" borderId="1" xfId="0" applyNumberFormat="1" applyFont="1" applyFill="1" applyBorder="1" applyAlignment="1"/>
    <xf numFmtId="2" fontId="12" fillId="3" borderId="1" xfId="0" applyNumberFormat="1" applyFont="1" applyFill="1" applyBorder="1"/>
    <xf numFmtId="0" fontId="16" fillId="2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top" wrapText="1"/>
    </xf>
    <xf numFmtId="2" fontId="8" fillId="0" borderId="1" xfId="0" applyNumberFormat="1" applyFont="1" applyBorder="1"/>
    <xf numFmtId="2" fontId="8" fillId="3" borderId="1" xfId="0" applyNumberFormat="1" applyFont="1" applyFill="1" applyBorder="1"/>
    <xf numFmtId="2" fontId="11" fillId="3" borderId="1" xfId="0" applyNumberFormat="1" applyFont="1" applyFill="1" applyBorder="1"/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8" fillId="7" borderId="1" xfId="0" applyFont="1" applyFill="1" applyBorder="1"/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2" fontId="11" fillId="7" borderId="1" xfId="0" applyNumberFormat="1" applyFont="1" applyFill="1" applyBorder="1"/>
    <xf numFmtId="0" fontId="8" fillId="7" borderId="9" xfId="0" applyFont="1" applyFill="1" applyBorder="1" applyAlignment="1">
      <alignment horizontal="center" vertical="center" wrapText="1"/>
    </xf>
    <xf numFmtId="0" fontId="8" fillId="7" borderId="0" xfId="0" applyFont="1" applyFill="1"/>
    <xf numFmtId="0" fontId="12" fillId="7" borderId="5" xfId="0" applyFont="1" applyFill="1" applyBorder="1" applyAlignment="1">
      <alignment horizontal="right"/>
    </xf>
    <xf numFmtId="2" fontId="11" fillId="7" borderId="5" xfId="0" applyNumberFormat="1" applyFont="1" applyFill="1" applyBorder="1"/>
    <xf numFmtId="0" fontId="17" fillId="7" borderId="1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right" vertical="center"/>
    </xf>
    <xf numFmtId="0" fontId="1" fillId="2" borderId="1" xfId="0" applyFont="1" applyFill="1" applyBorder="1"/>
    <xf numFmtId="165" fontId="7" fillId="2" borderId="1" xfId="0" applyNumberFormat="1" applyFont="1" applyFill="1" applyBorder="1"/>
    <xf numFmtId="0" fontId="12" fillId="2" borderId="5" xfId="0" applyFont="1" applyFill="1" applyBorder="1" applyAlignment="1">
      <alignment horizontal="right"/>
    </xf>
    <xf numFmtId="0" fontId="12" fillId="2" borderId="3" xfId="0" applyFont="1" applyFill="1" applyBorder="1" applyAlignment="1">
      <alignment horizontal="right" vertical="center" wrapText="1"/>
    </xf>
    <xf numFmtId="0" fontId="8" fillId="2" borderId="0" xfId="0" applyFont="1" applyFill="1"/>
    <xf numFmtId="0" fontId="2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2" fontId="10" fillId="7" borderId="1" xfId="0" applyNumberFormat="1" applyFont="1" applyFill="1" applyBorder="1" applyAlignment="1">
      <alignment horizontal="center"/>
    </xf>
    <xf numFmtId="166" fontId="7" fillId="0" borderId="1" xfId="0" applyNumberFormat="1" applyFont="1" applyBorder="1"/>
    <xf numFmtId="0" fontId="17" fillId="0" borderId="10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164" fontId="8" fillId="0" borderId="0" xfId="23" applyFont="1"/>
    <xf numFmtId="1" fontId="6" fillId="0" borderId="1" xfId="0" applyNumberFormat="1" applyFont="1" applyBorder="1" applyAlignment="1">
      <alignment horizontal="right" vertical="center" wrapText="1"/>
    </xf>
    <xf numFmtId="167" fontId="7" fillId="0" borderId="1" xfId="0" applyNumberFormat="1" applyFont="1" applyBorder="1"/>
    <xf numFmtId="2" fontId="2" fillId="0" borderId="1" xfId="0" applyNumberFormat="1" applyFont="1" applyBorder="1" applyAlignment="1">
      <alignment horizontal="center" vertical="center" wrapText="1"/>
    </xf>
    <xf numFmtId="164" fontId="1" fillId="0" borderId="0" xfId="23" applyFont="1"/>
    <xf numFmtId="164" fontId="10" fillId="7" borderId="1" xfId="23" applyFont="1" applyFill="1" applyBorder="1" applyAlignment="1">
      <alignment horizontal="center"/>
    </xf>
    <xf numFmtId="167" fontId="8" fillId="3" borderId="1" xfId="0" applyNumberFormat="1" applyFont="1" applyFill="1" applyBorder="1"/>
    <xf numFmtId="164" fontId="8" fillId="0" borderId="0" xfId="0" applyNumberFormat="1" applyFont="1"/>
    <xf numFmtId="168" fontId="8" fillId="0" borderId="0" xfId="0" applyNumberFormat="1" applyFont="1"/>
    <xf numFmtId="169" fontId="8" fillId="3" borderId="1" xfId="0" applyNumberFormat="1" applyFont="1" applyFill="1" applyBorder="1"/>
    <xf numFmtId="170" fontId="8" fillId="3" borderId="1" xfId="0" applyNumberFormat="1" applyFont="1" applyFill="1" applyBorder="1"/>
    <xf numFmtId="0" fontId="8" fillId="0" borderId="14" xfId="0" applyFont="1" applyBorder="1" applyAlignment="1">
      <alignment horizontal="justify" vertical="top" wrapText="1"/>
    </xf>
    <xf numFmtId="0" fontId="8" fillId="0" borderId="15" xfId="0" applyFont="1" applyBorder="1" applyAlignment="1">
      <alignment horizontal="justify" vertical="top" wrapText="1"/>
    </xf>
    <xf numFmtId="0" fontId="8" fillId="3" borderId="16" xfId="0" applyFont="1" applyFill="1" applyBorder="1"/>
    <xf numFmtId="0" fontId="5" fillId="0" borderId="16" xfId="0" applyFont="1" applyBorder="1" applyAlignment="1">
      <alignment wrapText="1"/>
    </xf>
    <xf numFmtId="0" fontId="8" fillId="3" borderId="16" xfId="0" applyFont="1" applyFill="1" applyBorder="1" applyAlignment="1">
      <alignment wrapText="1"/>
    </xf>
    <xf numFmtId="0" fontId="8" fillId="3" borderId="16" xfId="0" applyFont="1" applyFill="1" applyBorder="1" applyAlignment="1">
      <alignment vertical="top" wrapText="1"/>
    </xf>
    <xf numFmtId="0" fontId="8" fillId="0" borderId="6" xfId="0" applyFont="1" applyBorder="1" applyAlignment="1">
      <alignment horizontal="justify" vertical="top" wrapText="1"/>
    </xf>
    <xf numFmtId="167" fontId="2" fillId="0" borderId="1" xfId="0" applyNumberFormat="1" applyFont="1" applyBorder="1" applyAlignment="1">
      <alignment horizontal="center" wrapText="1"/>
    </xf>
    <xf numFmtId="167" fontId="7" fillId="3" borderId="1" xfId="0" applyNumberFormat="1" applyFont="1" applyFill="1" applyBorder="1"/>
    <xf numFmtId="0" fontId="7" fillId="0" borderId="16" xfId="0" applyFont="1" applyBorder="1" applyAlignment="1">
      <alignment horizontal="center"/>
    </xf>
    <xf numFmtId="164" fontId="7" fillId="0" borderId="1" xfId="23" applyNumberFormat="1" applyFont="1" applyBorder="1" applyAlignment="1">
      <alignment vertical="center"/>
    </xf>
    <xf numFmtId="0" fontId="8" fillId="0" borderId="1" xfId="0" applyFont="1" applyFill="1" applyBorder="1"/>
    <xf numFmtId="0" fontId="8" fillId="0" borderId="0" xfId="0" applyFont="1" applyFill="1"/>
    <xf numFmtId="0" fontId="22" fillId="0" borderId="0" xfId="0" applyFont="1" applyFill="1"/>
    <xf numFmtId="0" fontId="22" fillId="0" borderId="1" xfId="0" applyFont="1" applyFill="1" applyBorder="1"/>
    <xf numFmtId="0" fontId="23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2" fillId="0" borderId="1" xfId="0" applyFont="1" applyFill="1" applyBorder="1" applyAlignment="1">
      <alignment wrapText="1"/>
    </xf>
    <xf numFmtId="167" fontId="22" fillId="0" borderId="1" xfId="0" applyNumberFormat="1" applyFont="1" applyFill="1" applyBorder="1"/>
    <xf numFmtId="164" fontId="22" fillId="0" borderId="0" xfId="0" applyNumberFormat="1" applyFont="1" applyFill="1"/>
    <xf numFmtId="168" fontId="22" fillId="0" borderId="0" xfId="0" applyNumberFormat="1" applyFont="1" applyFill="1"/>
    <xf numFmtId="0" fontId="22" fillId="0" borderId="1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vertical="top" wrapText="1"/>
    </xf>
    <xf numFmtId="0" fontId="22" fillId="0" borderId="16" xfId="0" applyFont="1" applyFill="1" applyBorder="1" applyAlignment="1">
      <alignment wrapText="1"/>
    </xf>
    <xf numFmtId="0" fontId="24" fillId="0" borderId="5" xfId="0" applyFont="1" applyFill="1" applyBorder="1" applyAlignment="1">
      <alignment horizontal="right"/>
    </xf>
    <xf numFmtId="0" fontId="25" fillId="0" borderId="1" xfId="0" applyFont="1" applyFill="1" applyBorder="1" applyAlignment="1">
      <alignment horizontal="right" vertical="center" wrapText="1"/>
    </xf>
    <xf numFmtId="1" fontId="26" fillId="0" borderId="1" xfId="0" applyNumberFormat="1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right"/>
    </xf>
    <xf numFmtId="0" fontId="22" fillId="0" borderId="1" xfId="0" applyFont="1" applyFill="1" applyBorder="1" applyAlignment="1">
      <alignment horizontal="right" vertical="center"/>
    </xf>
    <xf numFmtId="0" fontId="22" fillId="0" borderId="6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vertical="center" wrapText="1"/>
    </xf>
    <xf numFmtId="167" fontId="25" fillId="0" borderId="1" xfId="0" applyNumberFormat="1" applyFont="1" applyFill="1" applyBorder="1" applyAlignment="1">
      <alignment horizontal="center" wrapText="1"/>
    </xf>
    <xf numFmtId="165" fontId="22" fillId="0" borderId="1" xfId="0" applyNumberFormat="1" applyFont="1" applyFill="1" applyBorder="1"/>
    <xf numFmtId="0" fontId="25" fillId="0" borderId="1" xfId="0" applyFont="1" applyFill="1" applyBorder="1" applyAlignment="1">
      <alignment horizontal="center" wrapText="1"/>
    </xf>
    <xf numFmtId="166" fontId="22" fillId="0" borderId="1" xfId="0" applyNumberFormat="1" applyFont="1" applyFill="1" applyBorder="1"/>
    <xf numFmtId="0" fontId="25" fillId="0" borderId="1" xfId="0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/>
    </xf>
    <xf numFmtId="0" fontId="24" fillId="0" borderId="3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/>
    </xf>
    <xf numFmtId="0" fontId="22" fillId="0" borderId="0" xfId="0" applyFont="1" applyFill="1" applyAlignment="1">
      <alignment horizontal="left" wrapText="1"/>
    </xf>
    <xf numFmtId="0" fontId="24" fillId="0" borderId="5" xfId="0" applyFont="1" applyFill="1" applyBorder="1" applyAlignment="1">
      <alignment horizontal="left" wrapText="1"/>
    </xf>
    <xf numFmtId="0" fontId="22" fillId="0" borderId="0" xfId="0" applyFont="1" applyFill="1" applyAlignment="1">
      <alignment wrapText="1"/>
    </xf>
    <xf numFmtId="0" fontId="24" fillId="0" borderId="5" xfId="0" applyFont="1" applyFill="1" applyBorder="1" applyAlignment="1">
      <alignment horizontal="right" wrapText="1"/>
    </xf>
    <xf numFmtId="0" fontId="22" fillId="0" borderId="6" xfId="0" applyFont="1" applyFill="1" applyBorder="1" applyAlignment="1">
      <alignment horizontal="left" vertical="top" wrapText="1"/>
    </xf>
    <xf numFmtId="171" fontId="22" fillId="0" borderId="1" xfId="0" applyNumberFormat="1" applyFont="1" applyFill="1" applyBorder="1"/>
    <xf numFmtId="0" fontId="2" fillId="0" borderId="16" xfId="0" applyFont="1" applyFill="1" applyBorder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164" fontId="1" fillId="0" borderId="0" xfId="0" applyNumberFormat="1" applyFont="1"/>
    <xf numFmtId="2" fontId="8" fillId="0" borderId="0" xfId="0" applyNumberFormat="1" applyFont="1"/>
    <xf numFmtId="172" fontId="2" fillId="0" borderId="1" xfId="23" applyNumberFormat="1" applyFont="1" applyBorder="1" applyAlignment="1">
      <alignment horizontal="right" vertical="center" wrapText="1"/>
    </xf>
    <xf numFmtId="0" fontId="8" fillId="0" borderId="0" xfId="0" applyFont="1" applyBorder="1"/>
    <xf numFmtId="0" fontId="16" fillId="2" borderId="16" xfId="0" applyFont="1" applyFill="1" applyBorder="1" applyAlignment="1">
      <alignment horizontal="center" vertical="center" wrapText="1"/>
    </xf>
    <xf numFmtId="2" fontId="7" fillId="3" borderId="16" xfId="0" applyNumberFormat="1" applyFont="1" applyFill="1" applyBorder="1"/>
    <xf numFmtId="0" fontId="8" fillId="0" borderId="22" xfId="0" applyFont="1" applyBorder="1"/>
    <xf numFmtId="0" fontId="30" fillId="8" borderId="22" xfId="0" applyFont="1" applyFill="1" applyBorder="1"/>
    <xf numFmtId="0" fontId="30" fillId="0" borderId="22" xfId="0" applyFont="1" applyBorder="1"/>
    <xf numFmtId="0" fontId="30" fillId="0" borderId="0" xfId="0" applyFont="1" applyBorder="1"/>
    <xf numFmtId="2" fontId="7" fillId="3" borderId="22" xfId="0" applyNumberFormat="1" applyFont="1" applyFill="1" applyBorder="1"/>
    <xf numFmtId="4" fontId="8" fillId="0" borderId="0" xfId="0" applyNumberFormat="1" applyFont="1"/>
    <xf numFmtId="0" fontId="22" fillId="0" borderId="26" xfId="0" applyFont="1" applyFill="1" applyBorder="1" applyAlignment="1">
      <alignment horizontal="left" wrapText="1"/>
    </xf>
    <xf numFmtId="0" fontId="22" fillId="0" borderId="22" xfId="0" applyFont="1" applyFill="1" applyBorder="1" applyAlignment="1">
      <alignment horizontal="center"/>
    </xf>
    <xf numFmtId="0" fontId="22" fillId="0" borderId="22" xfId="0" applyFont="1" applyFill="1" applyBorder="1"/>
    <xf numFmtId="165" fontId="22" fillId="0" borderId="22" xfId="0" applyNumberFormat="1" applyFont="1" applyFill="1" applyBorder="1"/>
    <xf numFmtId="0" fontId="25" fillId="0" borderId="22" xfId="0" applyFont="1" applyFill="1" applyBorder="1" applyAlignment="1">
      <alignment horizontal="center" vertical="center" wrapText="1"/>
    </xf>
    <xf numFmtId="2" fontId="25" fillId="0" borderId="27" xfId="0" applyNumberFormat="1" applyFont="1" applyFill="1" applyBorder="1" applyAlignment="1">
      <alignment horizontal="center" vertical="center" wrapText="1"/>
    </xf>
    <xf numFmtId="0" fontId="22" fillId="0" borderId="27" xfId="0" applyFont="1" applyFill="1" applyBorder="1"/>
    <xf numFmtId="165" fontId="22" fillId="0" borderId="27" xfId="0" applyNumberFormat="1" applyFont="1" applyFill="1" applyBorder="1"/>
    <xf numFmtId="0" fontId="22" fillId="0" borderId="26" xfId="0" applyFont="1" applyFill="1" applyBorder="1" applyAlignment="1">
      <alignment horizontal="left" vertical="top" wrapText="1"/>
    </xf>
    <xf numFmtId="0" fontId="24" fillId="0" borderId="27" xfId="0" applyFont="1" applyFill="1" applyBorder="1" applyAlignment="1">
      <alignment horizontal="left" vertical="center" wrapText="1"/>
    </xf>
    <xf numFmtId="0" fontId="26" fillId="0" borderId="28" xfId="1" applyFont="1" applyFill="1" applyBorder="1" applyAlignment="1" applyProtection="1">
      <alignment horizontal="left" vertical="center" wrapText="1"/>
      <protection locked="0"/>
    </xf>
    <xf numFmtId="0" fontId="25" fillId="0" borderId="26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43" fontId="8" fillId="0" borderId="0" xfId="0" applyNumberFormat="1" applyFont="1"/>
    <xf numFmtId="0" fontId="1" fillId="2" borderId="22" xfId="0" applyFont="1" applyFill="1" applyBorder="1"/>
    <xf numFmtId="4" fontId="8" fillId="0" borderId="0" xfId="0" applyNumberFormat="1" applyFont="1" applyBorder="1"/>
    <xf numFmtId="0" fontId="12" fillId="0" borderId="5" xfId="0" applyFont="1" applyFill="1" applyBorder="1" applyAlignment="1">
      <alignment horizontal="right"/>
    </xf>
    <xf numFmtId="2" fontId="11" fillId="0" borderId="5" xfId="0" applyNumberFormat="1" applyFont="1" applyFill="1" applyBorder="1"/>
    <xf numFmtId="2" fontId="11" fillId="0" borderId="0" xfId="0" applyNumberFormat="1" applyFont="1" applyFill="1" applyBorder="1"/>
    <xf numFmtId="0" fontId="17" fillId="0" borderId="1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2" fontId="11" fillId="0" borderId="1" xfId="0" applyNumberFormat="1" applyFont="1" applyFill="1" applyBorder="1"/>
    <xf numFmtId="2" fontId="11" fillId="0" borderId="9" xfId="0" applyNumberFormat="1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7" fillId="0" borderId="1" xfId="0" applyFont="1" applyFill="1" applyBorder="1"/>
    <xf numFmtId="0" fontId="2" fillId="0" borderId="1" xfId="0" applyFont="1" applyFill="1" applyBorder="1" applyAlignment="1">
      <alignment horizontal="right" vertical="center" wrapText="1"/>
    </xf>
    <xf numFmtId="170" fontId="8" fillId="0" borderId="1" xfId="0" applyNumberFormat="1" applyFont="1" applyFill="1" applyBorder="1"/>
    <xf numFmtId="1" fontId="6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vertical="center"/>
    </xf>
    <xf numFmtId="167" fontId="8" fillId="0" borderId="10" xfId="0" applyNumberFormat="1" applyFont="1" applyFill="1" applyBorder="1"/>
    <xf numFmtId="0" fontId="1" fillId="0" borderId="1" xfId="0" applyFont="1" applyFill="1" applyBorder="1"/>
    <xf numFmtId="169" fontId="8" fillId="0" borderId="1" xfId="0" applyNumberFormat="1" applyFont="1" applyFill="1" applyBorder="1"/>
    <xf numFmtId="2" fontId="11" fillId="3" borderId="30" xfId="0" applyNumberFormat="1" applyFont="1" applyFill="1" applyBorder="1"/>
    <xf numFmtId="0" fontId="18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2" fontId="8" fillId="0" borderId="8" xfId="0" applyNumberFormat="1" applyFont="1" applyFill="1" applyBorder="1"/>
    <xf numFmtId="2" fontId="8" fillId="0" borderId="10" xfId="0" applyNumberFormat="1" applyFont="1" applyFill="1" applyBorder="1"/>
    <xf numFmtId="2" fontId="11" fillId="0" borderId="16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/>
    <xf numFmtId="2" fontId="7" fillId="0" borderId="8" xfId="0" applyNumberFormat="1" applyFont="1" applyFill="1" applyBorder="1"/>
    <xf numFmtId="2" fontId="7" fillId="0" borderId="10" xfId="0" applyNumberFormat="1" applyFont="1" applyFill="1" applyBorder="1"/>
    <xf numFmtId="2" fontId="12" fillId="0" borderId="9" xfId="0" applyNumberFormat="1" applyFont="1" applyFill="1" applyBorder="1" applyAlignment="1"/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/>
    <xf numFmtId="0" fontId="2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wrapText="1"/>
    </xf>
    <xf numFmtId="0" fontId="7" fillId="0" borderId="22" xfId="0" applyFont="1" applyFill="1" applyBorder="1" applyAlignment="1">
      <alignment horizontal="left" wrapText="1"/>
    </xf>
    <xf numFmtId="0" fontId="1" fillId="0" borderId="22" xfId="0" applyFont="1" applyFill="1" applyBorder="1"/>
    <xf numFmtId="2" fontId="7" fillId="0" borderId="9" xfId="0" applyNumberFormat="1" applyFont="1" applyFill="1" applyBorder="1"/>
    <xf numFmtId="2" fontId="12" fillId="0" borderId="16" xfId="0" applyNumberFormat="1" applyFont="1" applyFill="1" applyBorder="1"/>
    <xf numFmtId="2" fontId="12" fillId="0" borderId="9" xfId="0" applyNumberFormat="1" applyFont="1" applyFill="1" applyBorder="1"/>
    <xf numFmtId="167" fontId="7" fillId="0" borderId="10" xfId="0" applyNumberFormat="1" applyFont="1" applyFill="1" applyBorder="1"/>
    <xf numFmtId="0" fontId="8" fillId="0" borderId="0" xfId="0" applyFont="1" applyFill="1" applyAlignment="1">
      <alignment horizontal="center"/>
    </xf>
    <xf numFmtId="0" fontId="12" fillId="0" borderId="5" xfId="0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4" borderId="22" xfId="0" applyFont="1" applyFill="1" applyBorder="1" applyAlignment="1">
      <alignment horizontal="center"/>
    </xf>
    <xf numFmtId="0" fontId="8" fillId="0" borderId="22" xfId="0" applyFont="1" applyBorder="1" applyAlignment="1">
      <alignment horizontal="justify" vertical="top" wrapText="1"/>
    </xf>
    <xf numFmtId="0" fontId="7" fillId="0" borderId="22" xfId="0" applyFont="1" applyFill="1" applyBorder="1"/>
    <xf numFmtId="169" fontId="8" fillId="0" borderId="22" xfId="0" applyNumberFormat="1" applyFont="1" applyFill="1" applyBorder="1"/>
    <xf numFmtId="0" fontId="8" fillId="3" borderId="22" xfId="0" applyFont="1" applyFill="1" applyBorder="1"/>
    <xf numFmtId="0" fontId="1" fillId="4" borderId="22" xfId="0" applyFont="1" applyFill="1" applyBorder="1"/>
    <xf numFmtId="0" fontId="7" fillId="0" borderId="22" xfId="0" applyFont="1" applyBorder="1"/>
    <xf numFmtId="167" fontId="8" fillId="0" borderId="1" xfId="0" applyNumberFormat="1" applyFont="1" applyFill="1" applyBorder="1" applyAlignment="1">
      <alignment horizontal="right"/>
    </xf>
    <xf numFmtId="167" fontId="8" fillId="0" borderId="8" xfId="0" applyNumberFormat="1" applyFont="1" applyFill="1" applyBorder="1"/>
    <xf numFmtId="0" fontId="17" fillId="0" borderId="22" xfId="0" applyFont="1" applyBorder="1" applyAlignment="1">
      <alignment vertical="center" wrapText="1"/>
    </xf>
    <xf numFmtId="0" fontId="8" fillId="9" borderId="1" xfId="0" applyFont="1" applyFill="1" applyBorder="1" applyAlignment="1">
      <alignment wrapText="1"/>
    </xf>
    <xf numFmtId="2" fontId="8" fillId="9" borderId="1" xfId="0" applyNumberFormat="1" applyFont="1" applyFill="1" applyBorder="1" applyAlignment="1">
      <alignment horizontal="right"/>
    </xf>
    <xf numFmtId="2" fontId="8" fillId="9" borderId="1" xfId="0" applyNumberFormat="1" applyFont="1" applyFill="1" applyBorder="1"/>
    <xf numFmtId="2" fontId="11" fillId="9" borderId="1" xfId="0" applyNumberFormat="1" applyFont="1" applyFill="1" applyBorder="1"/>
    <xf numFmtId="167" fontId="8" fillId="9" borderId="1" xfId="0" applyNumberFormat="1" applyFont="1" applyFill="1" applyBorder="1"/>
    <xf numFmtId="0" fontId="8" fillId="9" borderId="22" xfId="0" applyFont="1" applyFill="1" applyBorder="1" applyAlignment="1">
      <alignment horizontal="justify" vertical="top" wrapText="1"/>
    </xf>
    <xf numFmtId="2" fontId="11" fillId="9" borderId="30" xfId="0" applyNumberFormat="1" applyFont="1" applyFill="1" applyBorder="1"/>
    <xf numFmtId="0" fontId="10" fillId="9" borderId="1" xfId="0" applyFont="1" applyFill="1" applyBorder="1"/>
    <xf numFmtId="2" fontId="7" fillId="9" borderId="1" xfId="0" applyNumberFormat="1" applyFont="1" applyFill="1" applyBorder="1"/>
    <xf numFmtId="2" fontId="12" fillId="9" borderId="1" xfId="0" applyNumberFormat="1" applyFont="1" applyFill="1" applyBorder="1" applyAlignment="1"/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7" fontId="7" fillId="0" borderId="1" xfId="0" applyNumberFormat="1" applyFont="1" applyFill="1" applyBorder="1" applyAlignment="1">
      <alignment horizontal="right"/>
    </xf>
    <xf numFmtId="0" fontId="7" fillId="9" borderId="1" xfId="0" applyFont="1" applyFill="1" applyBorder="1" applyAlignment="1">
      <alignment wrapText="1"/>
    </xf>
    <xf numFmtId="0" fontId="7" fillId="9" borderId="22" xfId="0" applyFont="1" applyFill="1" applyBorder="1" applyAlignment="1">
      <alignment wrapText="1"/>
    </xf>
    <xf numFmtId="2" fontId="7" fillId="9" borderId="22" xfId="0" applyNumberFormat="1" applyFont="1" applyFill="1" applyBorder="1"/>
    <xf numFmtId="2" fontId="12" fillId="9" borderId="1" xfId="0" applyNumberFormat="1" applyFont="1" applyFill="1" applyBorder="1"/>
    <xf numFmtId="166" fontId="7" fillId="0" borderId="1" xfId="0" applyNumberFormat="1" applyFont="1" applyFill="1" applyBorder="1" applyAlignment="1">
      <alignment horizontal="right"/>
    </xf>
    <xf numFmtId="165" fontId="7" fillId="0" borderId="22" xfId="0" applyNumberFormat="1" applyFont="1" applyFill="1" applyBorder="1" applyAlignment="1">
      <alignment horizontal="right"/>
    </xf>
    <xf numFmtId="0" fontId="13" fillId="9" borderId="7" xfId="1" applyFont="1" applyFill="1" applyBorder="1" applyAlignment="1" applyProtection="1">
      <alignment horizontal="left" wrapText="1"/>
      <protection locked="0"/>
    </xf>
    <xf numFmtId="0" fontId="13" fillId="9" borderId="11" xfId="1" applyFont="1" applyFill="1" applyBorder="1" applyAlignment="1" applyProtection="1">
      <alignment horizontal="left" wrapText="1"/>
      <protection locked="0"/>
    </xf>
    <xf numFmtId="0" fontId="13" fillId="9" borderId="1" xfId="1" applyFont="1" applyFill="1" applyBorder="1" applyAlignment="1" applyProtection="1">
      <alignment horizontal="left" wrapText="1"/>
      <protection locked="0"/>
    </xf>
    <xf numFmtId="0" fontId="5" fillId="9" borderId="1" xfId="0" applyFont="1" applyFill="1" applyBorder="1" applyAlignment="1">
      <alignment wrapText="1"/>
    </xf>
    <xf numFmtId="0" fontId="5" fillId="9" borderId="16" xfId="0" applyFont="1" applyFill="1" applyBorder="1" applyAlignment="1">
      <alignment wrapText="1"/>
    </xf>
    <xf numFmtId="0" fontId="5" fillId="9" borderId="22" xfId="0" applyFont="1" applyFill="1" applyBorder="1" applyAlignment="1">
      <alignment wrapText="1"/>
    </xf>
    <xf numFmtId="166" fontId="7" fillId="0" borderId="22" xfId="0" applyNumberFormat="1" applyFont="1" applyFill="1" applyBorder="1" applyAlignment="1">
      <alignment horizontal="right"/>
    </xf>
    <xf numFmtId="0" fontId="10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/>
    </xf>
    <xf numFmtId="170" fontId="8" fillId="0" borderId="1" xfId="0" applyNumberFormat="1" applyFont="1" applyFill="1" applyBorder="1" applyAlignment="1">
      <alignment horizontal="right"/>
    </xf>
    <xf numFmtId="0" fontId="8" fillId="3" borderId="22" xfId="0" applyFont="1" applyFill="1" applyBorder="1" applyAlignment="1">
      <alignment horizontal="justify" vertical="top" wrapText="1"/>
    </xf>
    <xf numFmtId="0" fontId="7" fillId="3" borderId="1" xfId="0" applyFont="1" applyFill="1" applyBorder="1"/>
    <xf numFmtId="167" fontId="7" fillId="0" borderId="1" xfId="0" applyNumberFormat="1" applyFont="1" applyBorder="1" applyAlignment="1">
      <alignment horizontal="right"/>
    </xf>
    <xf numFmtId="0" fontId="7" fillId="3" borderId="1" xfId="0" applyFont="1" applyFill="1" applyBorder="1" applyAlignment="1">
      <alignment wrapText="1"/>
    </xf>
    <xf numFmtId="0" fontId="7" fillId="3" borderId="22" xfId="0" applyFont="1" applyFill="1" applyBorder="1" applyAlignment="1">
      <alignment wrapText="1"/>
    </xf>
    <xf numFmtId="0" fontId="13" fillId="3" borderId="7" xfId="1" applyFont="1" applyFill="1" applyBorder="1" applyAlignment="1" applyProtection="1">
      <alignment horizontal="left" vertical="center" wrapText="1"/>
      <protection locked="0"/>
    </xf>
    <xf numFmtId="0" fontId="13" fillId="3" borderId="11" xfId="1" applyFont="1" applyFill="1" applyBorder="1" applyAlignment="1" applyProtection="1">
      <alignment horizontal="left" vertical="center" wrapText="1"/>
      <protection locked="0"/>
    </xf>
    <xf numFmtId="0" fontId="13" fillId="3" borderId="1" xfId="1" applyFont="1" applyFill="1" applyBorder="1" applyAlignment="1" applyProtection="1">
      <alignment horizontal="left" vertical="center" wrapText="1"/>
      <protection locked="0"/>
    </xf>
    <xf numFmtId="0" fontId="5" fillId="3" borderId="1" xfId="0" applyFont="1" applyFill="1" applyBorder="1" applyAlignment="1">
      <alignment wrapText="1"/>
    </xf>
    <xf numFmtId="0" fontId="5" fillId="3" borderId="16" xfId="0" applyFont="1" applyFill="1" applyBorder="1" applyAlignment="1">
      <alignment wrapText="1"/>
    </xf>
    <xf numFmtId="0" fontId="5" fillId="3" borderId="22" xfId="0" applyFont="1" applyFill="1" applyBorder="1" applyAlignment="1">
      <alignment wrapText="1"/>
    </xf>
    <xf numFmtId="2" fontId="11" fillId="0" borderId="22" xfId="0" applyNumberFormat="1" applyFont="1" applyFill="1" applyBorder="1"/>
    <xf numFmtId="43" fontId="1" fillId="0" borderId="0" xfId="0" applyNumberFormat="1" applyFont="1"/>
    <xf numFmtId="164" fontId="11" fillId="8" borderId="1" xfId="23" applyFont="1" applyFill="1" applyBorder="1"/>
    <xf numFmtId="164" fontId="30" fillId="0" borderId="0" xfId="23" applyFont="1" applyAlignment="1">
      <alignment horizontal="right"/>
    </xf>
    <xf numFmtId="164" fontId="31" fillId="0" borderId="0" xfId="0" applyNumberFormat="1" applyFont="1"/>
    <xf numFmtId="0" fontId="10" fillId="0" borderId="0" xfId="0" applyFont="1" applyAlignment="1">
      <alignment wrapText="1"/>
    </xf>
    <xf numFmtId="164" fontId="10" fillId="0" borderId="0" xfId="23" applyFont="1"/>
    <xf numFmtId="0" fontId="10" fillId="10" borderId="1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/>
    </xf>
    <xf numFmtId="0" fontId="23" fillId="10" borderId="22" xfId="0" applyFont="1" applyFill="1" applyBorder="1" applyAlignment="1">
      <alignment horizontal="center"/>
    </xf>
    <xf numFmtId="164" fontId="8" fillId="0" borderId="0" xfId="23" applyFont="1" applyFill="1"/>
    <xf numFmtId="164" fontId="12" fillId="3" borderId="25" xfId="23" applyFont="1" applyFill="1" applyBorder="1" applyAlignment="1"/>
    <xf numFmtId="164" fontId="11" fillId="3" borderId="0" xfId="23" applyFont="1" applyFill="1" applyBorder="1"/>
    <xf numFmtId="0" fontId="30" fillId="0" borderId="0" xfId="0" applyFont="1"/>
    <xf numFmtId="164" fontId="12" fillId="3" borderId="1" xfId="23" applyFont="1" applyFill="1" applyBorder="1"/>
    <xf numFmtId="164" fontId="8" fillId="0" borderId="0" xfId="0" applyNumberFormat="1" applyFont="1" applyFill="1"/>
    <xf numFmtId="0" fontId="7" fillId="0" borderId="22" xfId="0" applyFont="1" applyBorder="1" applyAlignment="1">
      <alignment horizontal="left" wrapText="1"/>
    </xf>
    <xf numFmtId="2" fontId="10" fillId="7" borderId="22" xfId="0" applyNumberFormat="1" applyFont="1" applyFill="1" applyBorder="1" applyAlignment="1">
      <alignment horizontal="center"/>
    </xf>
    <xf numFmtId="2" fontId="7" fillId="3" borderId="22" xfId="0" applyNumberFormat="1" applyFont="1" applyFill="1" applyBorder="1" applyAlignment="1">
      <alignment horizontal="center"/>
    </xf>
    <xf numFmtId="0" fontId="17" fillId="0" borderId="9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8" fillId="0" borderId="0" xfId="0" applyNumberFormat="1" applyFont="1" applyBorder="1"/>
    <xf numFmtId="4" fontId="8" fillId="0" borderId="0" xfId="0" applyNumberFormat="1" applyFont="1" applyFill="1"/>
    <xf numFmtId="0" fontId="7" fillId="0" borderId="0" xfId="0" applyFont="1" applyBorder="1"/>
    <xf numFmtId="164" fontId="10" fillId="7" borderId="22" xfId="23" applyFont="1" applyFill="1" applyBorder="1" applyAlignment="1">
      <alignment horizontal="center"/>
    </xf>
    <xf numFmtId="0" fontId="7" fillId="0" borderId="22" xfId="0" applyFont="1" applyBorder="1" applyAlignment="1">
      <alignment horizontal="left" vertical="top" wrapText="1"/>
    </xf>
    <xf numFmtId="0" fontId="16" fillId="2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center" vertical="center" wrapText="1"/>
    </xf>
    <xf numFmtId="165" fontId="8" fillId="0" borderId="0" xfId="0" applyNumberFormat="1" applyFont="1" applyBorder="1"/>
    <xf numFmtId="2" fontId="8" fillId="0" borderId="0" xfId="0" applyNumberFormat="1" applyFont="1" applyBorder="1"/>
    <xf numFmtId="4" fontId="0" fillId="0" borderId="0" xfId="0" applyNumberFormat="1" applyBorder="1"/>
    <xf numFmtId="174" fontId="8" fillId="0" borderId="0" xfId="0" applyNumberFormat="1" applyFont="1" applyFill="1"/>
    <xf numFmtId="164" fontId="8" fillId="7" borderId="0" xfId="23" applyFont="1" applyFill="1"/>
    <xf numFmtId="43" fontId="19" fillId="0" borderId="0" xfId="0" applyNumberFormat="1" applyFont="1"/>
    <xf numFmtId="43" fontId="8" fillId="0" borderId="0" xfId="0" applyNumberFormat="1" applyFont="1" applyBorder="1" applyAlignment="1">
      <alignment horizontal="center" vertical="center" wrapText="1"/>
    </xf>
    <xf numFmtId="167" fontId="17" fillId="0" borderId="0" xfId="0" applyNumberFormat="1" applyFont="1" applyBorder="1" applyAlignment="1">
      <alignment horizontal="center" vertical="center" wrapText="1"/>
    </xf>
    <xf numFmtId="4" fontId="22" fillId="0" borderId="0" xfId="0" applyNumberFormat="1" applyFont="1" applyFill="1"/>
    <xf numFmtId="4" fontId="12" fillId="0" borderId="5" xfId="0" applyNumberFormat="1" applyFont="1" applyFill="1" applyBorder="1" applyAlignment="1">
      <alignment horizontal="right"/>
    </xf>
    <xf numFmtId="4" fontId="12" fillId="0" borderId="3" xfId="0" applyNumberFormat="1" applyFont="1" applyFill="1" applyBorder="1" applyAlignment="1">
      <alignment horizontal="right" vertical="center" wrapText="1"/>
    </xf>
    <xf numFmtId="4" fontId="10" fillId="2" borderId="9" xfId="0" applyNumberFormat="1" applyFont="1" applyFill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wrapText="1"/>
    </xf>
    <xf numFmtId="4" fontId="7" fillId="0" borderId="16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176" fontId="8" fillId="0" borderId="0" xfId="0" applyNumberFormat="1" applyFont="1" applyFill="1"/>
    <xf numFmtId="176" fontId="22" fillId="0" borderId="0" xfId="0" applyNumberFormat="1" applyFont="1" applyFill="1"/>
    <xf numFmtId="176" fontId="8" fillId="3" borderId="1" xfId="0" applyNumberFormat="1" applyFont="1" applyFill="1" applyBorder="1" applyAlignment="1">
      <alignment vertical="top" wrapText="1"/>
    </xf>
    <xf numFmtId="176" fontId="8" fillId="3" borderId="1" xfId="0" applyNumberFormat="1" applyFont="1" applyFill="1" applyBorder="1" applyAlignment="1">
      <alignment wrapText="1"/>
    </xf>
    <xf numFmtId="176" fontId="12" fillId="0" borderId="5" xfId="0" applyNumberFormat="1" applyFont="1" applyFill="1" applyBorder="1" applyAlignment="1">
      <alignment horizontal="right"/>
    </xf>
    <xf numFmtId="176" fontId="12" fillId="0" borderId="3" xfId="0" applyNumberFormat="1" applyFont="1" applyFill="1" applyBorder="1" applyAlignment="1">
      <alignment horizontal="right" vertical="center" wrapText="1"/>
    </xf>
    <xf numFmtId="176" fontId="8" fillId="3" borderId="1" xfId="0" applyNumberFormat="1" applyFont="1" applyFill="1" applyBorder="1"/>
    <xf numFmtId="176" fontId="10" fillId="2" borderId="9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right" wrapText="1"/>
    </xf>
    <xf numFmtId="176" fontId="2" fillId="0" borderId="1" xfId="0" applyNumberFormat="1" applyFont="1" applyBorder="1" applyAlignment="1">
      <alignment horizontal="center" vertical="center" wrapText="1"/>
    </xf>
    <xf numFmtId="176" fontId="8" fillId="0" borderId="0" xfId="0" applyNumberFormat="1" applyFont="1"/>
    <xf numFmtId="0" fontId="7" fillId="0" borderId="25" xfId="0" applyFont="1" applyBorder="1" applyAlignment="1">
      <alignment horizontal="center" wrapText="1"/>
    </xf>
    <xf numFmtId="0" fontId="30" fillId="0" borderId="25" xfId="0" applyFont="1" applyBorder="1"/>
    <xf numFmtId="0" fontId="7" fillId="9" borderId="25" xfId="0" applyFont="1" applyFill="1" applyBorder="1" applyAlignment="1">
      <alignment horizontal="center" wrapText="1"/>
    </xf>
    <xf numFmtId="4" fontId="30" fillId="7" borderId="21" xfId="0" applyNumberFormat="1" applyFont="1" applyFill="1" applyBorder="1"/>
    <xf numFmtId="4" fontId="19" fillId="0" borderId="0" xfId="0" applyNumberFormat="1" applyFont="1"/>
    <xf numFmtId="4" fontId="30" fillId="0" borderId="0" xfId="0" applyNumberFormat="1" applyFont="1"/>
    <xf numFmtId="4" fontId="8" fillId="0" borderId="0" xfId="23" applyNumberFormat="1" applyFont="1" applyBorder="1"/>
    <xf numFmtId="4" fontId="8" fillId="0" borderId="0" xfId="23" applyNumberFormat="1" applyFont="1"/>
    <xf numFmtId="4" fontId="8" fillId="0" borderId="21" xfId="23" applyNumberFormat="1" applyFont="1" applyBorder="1"/>
    <xf numFmtId="4" fontId="8" fillId="0" borderId="22" xfId="0" applyNumberFormat="1" applyFont="1" applyBorder="1"/>
    <xf numFmtId="4" fontId="30" fillId="0" borderId="21" xfId="0" applyNumberFormat="1" applyFont="1" applyBorder="1"/>
    <xf numFmtId="0" fontId="5" fillId="4" borderId="22" xfId="0" applyFont="1" applyFill="1" applyBorder="1" applyAlignment="1">
      <alignment wrapText="1"/>
    </xf>
    <xf numFmtId="4" fontId="16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right"/>
    </xf>
    <xf numFmtId="4" fontId="8" fillId="7" borderId="1" xfId="0" applyNumberFormat="1" applyFont="1" applyFill="1" applyBorder="1"/>
    <xf numFmtId="4" fontId="8" fillId="0" borderId="1" xfId="0" applyNumberFormat="1" applyFont="1" applyFill="1" applyBorder="1"/>
    <xf numFmtId="4" fontId="8" fillId="0" borderId="1" xfId="0" applyNumberFormat="1" applyFont="1" applyBorder="1"/>
    <xf numFmtId="4" fontId="2" fillId="0" borderId="16" xfId="0" applyNumberFormat="1" applyFont="1" applyFill="1" applyBorder="1" applyAlignment="1">
      <alignment horizontal="right" wrapText="1"/>
    </xf>
    <xf numFmtId="4" fontId="2" fillId="0" borderId="22" xfId="0" applyNumberFormat="1" applyFont="1" applyFill="1" applyBorder="1" applyAlignment="1">
      <alignment horizontal="right" wrapText="1"/>
    </xf>
    <xf numFmtId="4" fontId="2" fillId="4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right" wrapText="1"/>
    </xf>
    <xf numFmtId="4" fontId="2" fillId="0" borderId="22" xfId="0" applyNumberFormat="1" applyFont="1" applyBorder="1" applyAlignment="1">
      <alignment horizontal="right" wrapText="1"/>
    </xf>
    <xf numFmtId="4" fontId="7" fillId="0" borderId="1" xfId="0" applyNumberFormat="1" applyFont="1" applyBorder="1" applyAlignment="1">
      <alignment horizontal="right"/>
    </xf>
    <xf numFmtId="4" fontId="7" fillId="0" borderId="1" xfId="23" applyNumberFormat="1" applyFont="1" applyFill="1" applyBorder="1" applyAlignment="1">
      <alignment horizontal="right"/>
    </xf>
    <xf numFmtId="4" fontId="5" fillId="0" borderId="1" xfId="23" applyNumberFormat="1" applyFont="1" applyFill="1" applyBorder="1" applyAlignment="1">
      <alignment horizontal="right" wrapText="1"/>
    </xf>
    <xf numFmtId="4" fontId="5" fillId="0" borderId="16" xfId="23" applyNumberFormat="1" applyFont="1" applyFill="1" applyBorder="1" applyAlignment="1">
      <alignment horizontal="right" wrapText="1"/>
    </xf>
    <xf numFmtId="4" fontId="5" fillId="0" borderId="22" xfId="23" applyNumberFormat="1" applyFont="1" applyFill="1" applyBorder="1" applyAlignment="1">
      <alignment horizontal="right" wrapText="1"/>
    </xf>
    <xf numFmtId="4" fontId="8" fillId="0" borderId="21" xfId="0" applyNumberFormat="1" applyFont="1" applyBorder="1"/>
    <xf numFmtId="4" fontId="30" fillId="0" borderId="21" xfId="0" applyNumberFormat="1" applyFont="1" applyBorder="1" applyAlignment="1">
      <alignment horizontal="right"/>
    </xf>
    <xf numFmtId="4" fontId="8" fillId="0" borderId="0" xfId="0" applyNumberFormat="1" applyFont="1" applyAlignment="1">
      <alignment wrapText="1"/>
    </xf>
    <xf numFmtId="4" fontId="8" fillId="7" borderId="0" xfId="0" applyNumberFormat="1" applyFont="1" applyFill="1"/>
    <xf numFmtId="178" fontId="8" fillId="0" borderId="0" xfId="23" applyNumberFormat="1" applyFont="1"/>
    <xf numFmtId="4" fontId="12" fillId="0" borderId="4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right"/>
    </xf>
    <xf numFmtId="4" fontId="7" fillId="0" borderId="22" xfId="0" applyNumberFormat="1" applyFont="1" applyFill="1" applyBorder="1" applyAlignment="1">
      <alignment horizontal="right"/>
    </xf>
    <xf numFmtId="4" fontId="8" fillId="0" borderId="22" xfId="0" applyNumberFormat="1" applyFont="1" applyFill="1" applyBorder="1"/>
    <xf numFmtId="4" fontId="2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 applyAlignment="1">
      <alignment horizontal="right" wrapText="1"/>
    </xf>
    <xf numFmtId="4" fontId="7" fillId="0" borderId="16" xfId="0" applyNumberFormat="1" applyFont="1" applyBorder="1" applyAlignment="1">
      <alignment horizontal="right"/>
    </xf>
    <xf numFmtId="179" fontId="8" fillId="0" borderId="0" xfId="0" applyNumberFormat="1" applyFont="1"/>
    <xf numFmtId="180" fontId="8" fillId="0" borderId="0" xfId="0" applyNumberFormat="1" applyFont="1"/>
    <xf numFmtId="181" fontId="8" fillId="0" borderId="0" xfId="0" applyNumberFormat="1" applyFont="1"/>
    <xf numFmtId="182" fontId="8" fillId="0" borderId="0" xfId="0" applyNumberFormat="1" applyFont="1"/>
    <xf numFmtId="173" fontId="30" fillId="0" borderId="0" xfId="0" applyNumberFormat="1" applyFont="1"/>
    <xf numFmtId="176" fontId="7" fillId="0" borderId="22" xfId="0" applyNumberFormat="1" applyFont="1" applyFill="1" applyBorder="1" applyAlignment="1">
      <alignment horizontal="left" wrapText="1"/>
    </xf>
    <xf numFmtId="0" fontId="7" fillId="0" borderId="25" xfId="0" applyFont="1" applyBorder="1"/>
    <xf numFmtId="176" fontId="7" fillId="0" borderId="0" xfId="0" applyNumberFormat="1" applyFont="1" applyBorder="1" applyAlignment="1">
      <alignment horizontal="center" vertical="center" wrapText="1"/>
    </xf>
    <xf numFmtId="4" fontId="8" fillId="0" borderId="33" xfId="23" applyNumberFormat="1" applyFont="1" applyBorder="1"/>
    <xf numFmtId="4" fontId="8" fillId="11" borderId="0" xfId="0" applyNumberFormat="1" applyFont="1" applyFill="1"/>
    <xf numFmtId="4" fontId="30" fillId="11" borderId="33" xfId="0" applyNumberFormat="1" applyFont="1" applyFill="1" applyBorder="1" applyAlignment="1">
      <alignment horizontal="right"/>
    </xf>
    <xf numFmtId="4" fontId="8" fillId="0" borderId="0" xfId="23" applyNumberFormat="1" applyFont="1" applyFill="1" applyBorder="1"/>
    <xf numFmtId="175" fontId="8" fillId="0" borderId="22" xfId="23" applyNumberFormat="1" applyFont="1" applyFill="1" applyBorder="1"/>
    <xf numFmtId="4" fontId="8" fillId="0" borderId="22" xfId="23" applyNumberFormat="1" applyFont="1" applyFill="1" applyBorder="1"/>
    <xf numFmtId="4" fontId="8" fillId="0" borderId="30" xfId="0" applyNumberFormat="1" applyFont="1" applyFill="1" applyBorder="1"/>
    <xf numFmtId="4" fontId="8" fillId="11" borderId="0" xfId="0" applyNumberFormat="1" applyFont="1" applyFill="1" applyBorder="1"/>
    <xf numFmtId="4" fontId="8" fillId="13" borderId="0" xfId="0" applyNumberFormat="1" applyFont="1" applyFill="1" applyBorder="1"/>
    <xf numFmtId="183" fontId="7" fillId="0" borderId="29" xfId="0" applyNumberFormat="1" applyFont="1" applyBorder="1" applyAlignment="1">
      <alignment horizontal="center" vertical="center" wrapText="1"/>
    </xf>
    <xf numFmtId="4" fontId="8" fillId="3" borderId="0" xfId="0" applyNumberFormat="1" applyFont="1" applyFill="1"/>
    <xf numFmtId="4" fontId="8" fillId="14" borderId="0" xfId="0" applyNumberFormat="1" applyFont="1" applyFill="1"/>
    <xf numFmtId="4" fontId="30" fillId="0" borderId="9" xfId="23" applyNumberFormat="1" applyFont="1" applyBorder="1"/>
    <xf numFmtId="4" fontId="8" fillId="14" borderId="0" xfId="0" applyNumberFormat="1" applyFont="1" applyFill="1" applyBorder="1"/>
    <xf numFmtId="0" fontId="30" fillId="8" borderId="0" xfId="0" applyFont="1" applyFill="1" applyBorder="1"/>
    <xf numFmtId="0" fontId="8" fillId="8" borderId="0" xfId="0" applyFont="1" applyFill="1" applyBorder="1"/>
    <xf numFmtId="0" fontId="30" fillId="0" borderId="0" xfId="0" applyFont="1" applyFill="1" applyBorder="1"/>
    <xf numFmtId="4" fontId="8" fillId="13" borderId="0" xfId="0" applyNumberFormat="1" applyFont="1" applyFill="1"/>
    <xf numFmtId="173" fontId="8" fillId="8" borderId="22" xfId="0" applyNumberFormat="1" applyFont="1" applyFill="1" applyBorder="1"/>
    <xf numFmtId="4" fontId="8" fillId="11" borderId="22" xfId="0" applyNumberFormat="1" applyFont="1" applyFill="1" applyBorder="1" applyAlignment="1">
      <alignment horizontal="center"/>
    </xf>
    <xf numFmtId="173" fontId="8" fillId="0" borderId="22" xfId="0" applyNumberFormat="1" applyFont="1" applyFill="1" applyBorder="1"/>
    <xf numFmtId="4" fontId="8" fillId="3" borderId="0" xfId="0" applyNumberFormat="1" applyFont="1" applyFill="1" applyBorder="1"/>
    <xf numFmtId="177" fontId="8" fillId="12" borderId="0" xfId="0" applyNumberFormat="1" applyFont="1" applyFill="1"/>
    <xf numFmtId="184" fontId="8" fillId="0" borderId="0" xfId="0" applyNumberFormat="1" applyFont="1"/>
    <xf numFmtId="3" fontId="7" fillId="0" borderId="22" xfId="0" applyNumberFormat="1" applyFont="1" applyBorder="1"/>
    <xf numFmtId="185" fontId="7" fillId="0" borderId="1" xfId="0" applyNumberFormat="1" applyFont="1" applyFill="1" applyBorder="1" applyAlignment="1">
      <alignment horizontal="right"/>
    </xf>
    <xf numFmtId="185" fontId="7" fillId="0" borderId="1" xfId="0" applyNumberFormat="1" applyFont="1" applyBorder="1" applyAlignment="1">
      <alignment horizontal="right"/>
    </xf>
    <xf numFmtId="0" fontId="22" fillId="0" borderId="2" xfId="0" applyFont="1" applyFill="1" applyBorder="1" applyAlignment="1">
      <alignment horizontal="center" wrapText="1"/>
    </xf>
    <xf numFmtId="0" fontId="22" fillId="0" borderId="4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24" fillId="0" borderId="27" xfId="0" applyFont="1" applyFill="1" applyBorder="1" applyAlignment="1">
      <alignment horizontal="left" wrapText="1"/>
    </xf>
    <xf numFmtId="0" fontId="24" fillId="0" borderId="3" xfId="0" applyFont="1" applyFill="1" applyBorder="1" applyAlignment="1">
      <alignment horizontal="left" wrapText="1"/>
    </xf>
    <xf numFmtId="0" fontId="24" fillId="0" borderId="20" xfId="0" applyFont="1" applyFill="1" applyBorder="1" applyAlignment="1">
      <alignment horizontal="left" wrapText="1"/>
    </xf>
    <xf numFmtId="0" fontId="8" fillId="0" borderId="0" xfId="0" applyFont="1" applyAlignment="1">
      <alignment horizontal="right" wrapText="1"/>
    </xf>
    <xf numFmtId="0" fontId="29" fillId="0" borderId="0" xfId="0" applyFont="1" applyFill="1" applyAlignment="1">
      <alignment horizontal="center" wrapText="1"/>
    </xf>
    <xf numFmtId="0" fontId="29" fillId="0" borderId="29" xfId="0" applyFont="1" applyFill="1" applyBorder="1" applyAlignment="1">
      <alignment horizontal="center" vertical="top" wrapText="1"/>
    </xf>
    <xf numFmtId="0" fontId="29" fillId="0" borderId="10" xfId="0" applyFont="1" applyFill="1" applyBorder="1" applyAlignment="1">
      <alignment horizontal="center" vertical="top" wrapText="1"/>
    </xf>
    <xf numFmtId="0" fontId="29" fillId="0" borderId="9" xfId="0" applyFont="1" applyFill="1" applyBorder="1" applyAlignment="1">
      <alignment horizontal="center" vertical="top" wrapText="1"/>
    </xf>
    <xf numFmtId="0" fontId="27" fillId="0" borderId="18" xfId="0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left" wrapText="1"/>
    </xf>
    <xf numFmtId="0" fontId="22" fillId="0" borderId="2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2" fillId="4" borderId="2" xfId="0" applyFont="1" applyFill="1" applyBorder="1" applyAlignment="1">
      <alignment horizontal="right" vertical="center"/>
    </xf>
    <xf numFmtId="0" fontId="12" fillId="4" borderId="3" xfId="0" applyFont="1" applyFill="1" applyBorder="1" applyAlignment="1">
      <alignment horizontal="right" vertical="center"/>
    </xf>
    <xf numFmtId="0" fontId="12" fillId="4" borderId="4" xfId="0" applyFont="1" applyFill="1" applyBorder="1" applyAlignment="1">
      <alignment horizontal="right" vertic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  <xf numFmtId="0" fontId="12" fillId="4" borderId="4" xfId="0" applyFont="1" applyFill="1" applyBorder="1" applyAlignment="1">
      <alignment horizontal="right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12" fillId="3" borderId="2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right" vertical="center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7" fillId="0" borderId="9" xfId="0" applyFont="1" applyBorder="1" applyAlignment="1">
      <alignment horizontal="center" vertical="top" wrapText="1"/>
    </xf>
    <xf numFmtId="0" fontId="8" fillId="0" borderId="0" xfId="0" applyFont="1" applyFill="1" applyAlignment="1">
      <alignment horizont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4" xfId="0" applyFont="1" applyBorder="1" applyAlignment="1">
      <alignment horizontal="right" vertical="center" wrapText="1"/>
    </xf>
    <xf numFmtId="0" fontId="12" fillId="0" borderId="13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7" fillId="0" borderId="9" xfId="0" applyFont="1" applyBorder="1" applyAlignment="1">
      <alignment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2" fillId="0" borderId="4" xfId="0" applyFont="1" applyBorder="1" applyAlignment="1">
      <alignment horizontal="center" wrapText="1"/>
    </xf>
    <xf numFmtId="0" fontId="23" fillId="0" borderId="0" xfId="0" applyFont="1" applyFill="1" applyAlignment="1">
      <alignment horizontal="center"/>
    </xf>
    <xf numFmtId="0" fontId="12" fillId="3" borderId="25" xfId="0" applyFont="1" applyFill="1" applyBorder="1" applyAlignment="1">
      <alignment horizontal="right"/>
    </xf>
    <xf numFmtId="0" fontId="12" fillId="3" borderId="31" xfId="0" applyFont="1" applyFill="1" applyBorder="1" applyAlignment="1">
      <alignment horizontal="right"/>
    </xf>
    <xf numFmtId="0" fontId="12" fillId="3" borderId="30" xfId="0" applyFont="1" applyFill="1" applyBorder="1" applyAlignment="1">
      <alignment horizontal="right"/>
    </xf>
    <xf numFmtId="0" fontId="7" fillId="0" borderId="29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left" wrapText="1"/>
    </xf>
    <xf numFmtId="0" fontId="12" fillId="0" borderId="31" xfId="0" applyFont="1" applyBorder="1" applyAlignment="1">
      <alignment horizontal="left" wrapText="1"/>
    </xf>
    <xf numFmtId="0" fontId="12" fillId="0" borderId="30" xfId="0" applyFont="1" applyBorder="1" applyAlignment="1">
      <alignment horizontal="left" wrapText="1"/>
    </xf>
    <xf numFmtId="0" fontId="7" fillId="0" borderId="13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21" fillId="0" borderId="22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0" fontId="8" fillId="4" borderId="8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right" wrapText="1"/>
    </xf>
    <xf numFmtId="0" fontId="12" fillId="3" borderId="31" xfId="0" applyFont="1" applyFill="1" applyBorder="1" applyAlignment="1">
      <alignment horizontal="right" wrapText="1"/>
    </xf>
    <xf numFmtId="0" fontId="12" fillId="3" borderId="30" xfId="0" applyFont="1" applyFill="1" applyBorder="1" applyAlignment="1">
      <alignment horizontal="right" wrapText="1"/>
    </xf>
    <xf numFmtId="0" fontId="8" fillId="0" borderId="1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2" fillId="9" borderId="25" xfId="0" applyFont="1" applyFill="1" applyBorder="1" applyAlignment="1">
      <alignment horizontal="right"/>
    </xf>
    <xf numFmtId="0" fontId="12" fillId="9" borderId="31" xfId="0" applyFont="1" applyFill="1" applyBorder="1" applyAlignment="1">
      <alignment horizontal="right"/>
    </xf>
    <xf numFmtId="0" fontId="12" fillId="9" borderId="30" xfId="0" applyFont="1" applyFill="1" applyBorder="1" applyAlignment="1">
      <alignment horizontal="right"/>
    </xf>
    <xf numFmtId="0" fontId="12" fillId="9" borderId="25" xfId="0" applyFont="1" applyFill="1" applyBorder="1" applyAlignment="1">
      <alignment horizontal="right" wrapText="1"/>
    </xf>
    <xf numFmtId="0" fontId="12" fillId="9" borderId="31" xfId="0" applyFont="1" applyFill="1" applyBorder="1" applyAlignment="1">
      <alignment horizontal="right" wrapText="1"/>
    </xf>
    <xf numFmtId="0" fontId="12" fillId="9" borderId="30" xfId="0" applyFont="1" applyFill="1" applyBorder="1" applyAlignment="1">
      <alignment horizontal="right" wrapText="1"/>
    </xf>
    <xf numFmtId="0" fontId="17" fillId="0" borderId="29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23" fillId="0" borderId="32" xfId="0" applyFont="1" applyBorder="1" applyAlignment="1">
      <alignment horizontal="center" wrapText="1"/>
    </xf>
    <xf numFmtId="0" fontId="23" fillId="10" borderId="22" xfId="0" applyFont="1" applyFill="1" applyBorder="1" applyAlignment="1">
      <alignment horizontal="center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23" fillId="10" borderId="25" xfId="0" applyFont="1" applyFill="1" applyBorder="1" applyAlignment="1">
      <alignment horizontal="center" vertical="center" wrapText="1"/>
    </xf>
    <xf numFmtId="0" fontId="23" fillId="10" borderId="25" xfId="0" applyFont="1" applyFill="1" applyBorder="1" applyAlignment="1">
      <alignment horizontal="center"/>
    </xf>
    <xf numFmtId="164" fontId="7" fillId="0" borderId="25" xfId="0" applyNumberFormat="1" applyFont="1" applyBorder="1"/>
    <xf numFmtId="0" fontId="1" fillId="0" borderId="22" xfId="0" applyFont="1" applyBorder="1"/>
    <xf numFmtId="4" fontId="1" fillId="0" borderId="22" xfId="0" applyNumberFormat="1" applyFont="1" applyBorder="1"/>
  </cellXfs>
  <cellStyles count="24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32"/>
  <sheetViews>
    <sheetView view="pageBreakPreview" zoomScale="70" zoomScaleNormal="80" zoomScaleSheetLayoutView="70" zoomScalePageLayoutView="85" workbookViewId="0">
      <pane ySplit="5" topLeftCell="A6" activePane="bottomLeft" state="frozen"/>
      <selection pane="bottomLeft" activeCell="B7" sqref="B7:B132"/>
    </sheetView>
  </sheetViews>
  <sheetFormatPr defaultColWidth="8.85546875" defaultRowHeight="15.75" outlineLevelRow="2"/>
  <cols>
    <col min="1" max="1" width="33.140625" style="86" customWidth="1"/>
    <col min="2" max="2" width="30.140625" style="86" customWidth="1"/>
    <col min="3" max="3" width="36.5703125" style="114" customWidth="1"/>
    <col min="4" max="4" width="20.140625" style="116" customWidth="1"/>
    <col min="5" max="5" width="13" style="86" hidden="1" customWidth="1"/>
    <col min="6" max="6" width="14" style="86" hidden="1" customWidth="1"/>
    <col min="7" max="7" width="14.85546875" style="86" hidden="1" customWidth="1"/>
    <col min="8" max="8" width="15.42578125" style="86" customWidth="1"/>
    <col min="9" max="9" width="10.85546875" style="86" bestFit="1" customWidth="1"/>
    <col min="10" max="10" width="13.85546875" style="86" customWidth="1"/>
    <col min="11" max="11" width="13" style="86" customWidth="1"/>
    <col min="12" max="12" width="12.7109375" style="86" customWidth="1"/>
    <col min="13" max="13" width="19.7109375" style="86" customWidth="1"/>
    <col min="14" max="16384" width="8.85546875" style="86"/>
  </cols>
  <sheetData>
    <row r="1" spans="1:14" ht="66" customHeight="1">
      <c r="D1" s="399" t="s">
        <v>176</v>
      </c>
      <c r="E1" s="399"/>
      <c r="F1" s="399"/>
      <c r="G1" s="399"/>
      <c r="H1" s="399"/>
    </row>
    <row r="2" spans="1:14" ht="19.5" customHeight="1"/>
    <row r="3" spans="1:14" ht="36.75" customHeight="1">
      <c r="A3" s="400" t="s">
        <v>156</v>
      </c>
      <c r="B3" s="400"/>
      <c r="C3" s="400"/>
      <c r="D3" s="400"/>
      <c r="E3" s="400"/>
      <c r="F3" s="400"/>
      <c r="G3" s="400"/>
      <c r="H3" s="400"/>
    </row>
    <row r="5" spans="1:14" ht="90" customHeight="1">
      <c r="A5" s="103" t="s">
        <v>134</v>
      </c>
      <c r="B5" s="103" t="s">
        <v>135</v>
      </c>
      <c r="C5" s="122" t="s">
        <v>137</v>
      </c>
      <c r="D5" s="406" t="s">
        <v>138</v>
      </c>
      <c r="E5" s="407"/>
      <c r="F5" s="103" t="s">
        <v>52</v>
      </c>
      <c r="G5" s="103" t="s">
        <v>2</v>
      </c>
      <c r="H5" s="103" t="s">
        <v>139</v>
      </c>
    </row>
    <row r="6" spans="1:14">
      <c r="A6" s="88">
        <v>1</v>
      </c>
      <c r="B6" s="88">
        <v>2</v>
      </c>
      <c r="C6" s="88">
        <v>3</v>
      </c>
      <c r="D6" s="408">
        <v>4</v>
      </c>
      <c r="E6" s="409"/>
      <c r="F6" s="88">
        <v>3</v>
      </c>
      <c r="G6" s="88">
        <v>4</v>
      </c>
      <c r="H6" s="88">
        <v>5</v>
      </c>
    </row>
    <row r="7" spans="1:14" ht="45" customHeight="1">
      <c r="A7" s="401" t="s">
        <v>151</v>
      </c>
      <c r="B7" s="401" t="s">
        <v>197</v>
      </c>
      <c r="C7" s="396" t="s">
        <v>140</v>
      </c>
      <c r="D7" s="397"/>
      <c r="E7" s="397"/>
      <c r="F7" s="397"/>
      <c r="G7" s="397"/>
      <c r="H7" s="397"/>
    </row>
    <row r="8" spans="1:14" ht="46.5" customHeight="1">
      <c r="A8" s="402"/>
      <c r="B8" s="402"/>
      <c r="C8" s="396" t="s">
        <v>141</v>
      </c>
      <c r="D8" s="397"/>
      <c r="E8" s="397"/>
      <c r="F8" s="397"/>
      <c r="G8" s="397"/>
      <c r="H8" s="397"/>
    </row>
    <row r="9" spans="1:14" ht="30.75" customHeight="1" outlineLevel="1">
      <c r="A9" s="402"/>
      <c r="B9" s="402"/>
      <c r="C9" s="135" t="s">
        <v>70</v>
      </c>
      <c r="D9" s="392" t="s">
        <v>154</v>
      </c>
      <c r="E9" s="393"/>
      <c r="F9" s="87" t="e">
        <f>D9*1776.4</f>
        <v>#VALUE!</v>
      </c>
      <c r="G9" s="87">
        <f>N17</f>
        <v>405150</v>
      </c>
      <c r="H9" s="119">
        <f>расчет!S8</f>
        <v>0.22331180957671842</v>
      </c>
      <c r="I9" s="92"/>
      <c r="J9" s="93"/>
    </row>
    <row r="10" spans="1:14" ht="29.25" customHeight="1" outlineLevel="1">
      <c r="A10" s="402"/>
      <c r="B10" s="402"/>
      <c r="C10" s="135" t="s">
        <v>92</v>
      </c>
      <c r="D10" s="392" t="s">
        <v>154</v>
      </c>
      <c r="E10" s="393"/>
      <c r="F10" s="87" t="e">
        <f>D10*1776.4</f>
        <v>#VALUE!</v>
      </c>
      <c r="G10" s="87">
        <f>G9</f>
        <v>405150</v>
      </c>
      <c r="H10" s="119">
        <f>расчет!S9</f>
        <v>1.5165487916924852E-2</v>
      </c>
      <c r="I10" s="92"/>
      <c r="J10" s="93"/>
    </row>
    <row r="11" spans="1:14" ht="24.75" customHeight="1" outlineLevel="1">
      <c r="A11" s="402"/>
      <c r="B11" s="402"/>
      <c r="C11" s="135" t="s">
        <v>118</v>
      </c>
      <c r="D11" s="392" t="s">
        <v>154</v>
      </c>
      <c r="E11" s="393"/>
      <c r="F11" s="87" t="e">
        <f>D11*1776.4</f>
        <v>#VALUE!</v>
      </c>
      <c r="G11" s="87">
        <f>G9</f>
        <v>405150</v>
      </c>
      <c r="H11" s="119">
        <f>расчет!S10</f>
        <v>0</v>
      </c>
    </row>
    <row r="12" spans="1:14" ht="15.75" hidden="1" customHeight="1" outlineLevel="1">
      <c r="A12" s="402"/>
      <c r="B12" s="402"/>
      <c r="C12" s="135"/>
      <c r="D12" s="392"/>
      <c r="E12" s="393"/>
      <c r="F12" s="87">
        <f>D12*1776.4</f>
        <v>0</v>
      </c>
      <c r="G12" s="87">
        <f>G9</f>
        <v>405150</v>
      </c>
      <c r="H12" s="91">
        <f t="shared" ref="H12:H13" si="0">F12/G12</f>
        <v>0</v>
      </c>
    </row>
    <row r="13" spans="1:14" ht="15.75" hidden="1" customHeight="1" outlineLevel="1">
      <c r="A13" s="402"/>
      <c r="B13" s="402"/>
      <c r="C13" s="135"/>
      <c r="D13" s="392"/>
      <c r="E13" s="393"/>
      <c r="F13" s="87">
        <f>D13*1776.4</f>
        <v>0</v>
      </c>
      <c r="G13" s="87">
        <f>G9</f>
        <v>405150</v>
      </c>
      <c r="H13" s="91">
        <f t="shared" si="0"/>
        <v>0</v>
      </c>
      <c r="K13" s="86" t="s">
        <v>116</v>
      </c>
      <c r="L13" s="86" t="s">
        <v>117</v>
      </c>
    </row>
    <row r="14" spans="1:14" ht="15.75" hidden="1" customHeight="1" outlineLevel="1">
      <c r="A14" s="402"/>
      <c r="B14" s="402"/>
      <c r="C14" s="143"/>
      <c r="D14" s="95"/>
      <c r="E14" s="94"/>
      <c r="F14" s="87"/>
      <c r="G14" s="87"/>
      <c r="H14" s="91"/>
      <c r="K14" s="86">
        <v>576</v>
      </c>
      <c r="L14" s="86">
        <v>52</v>
      </c>
      <c r="M14" s="86">
        <f>L14*K14</f>
        <v>29952</v>
      </c>
      <c r="N14" s="86">
        <v>54</v>
      </c>
    </row>
    <row r="15" spans="1:14" ht="15.75" hidden="1" customHeight="1" outlineLevel="1">
      <c r="A15" s="402"/>
      <c r="B15" s="402"/>
      <c r="C15" s="135"/>
      <c r="D15" s="96"/>
      <c r="E15" s="90"/>
      <c r="F15" s="87"/>
      <c r="G15" s="87"/>
      <c r="H15" s="91" t="e">
        <f t="shared" ref="H15" si="1">F15/G15</f>
        <v>#DIV/0!</v>
      </c>
      <c r="M15" s="86" t="s">
        <v>93</v>
      </c>
      <c r="N15" s="86">
        <f>ROUND(M14/N14,0)</f>
        <v>555</v>
      </c>
    </row>
    <row r="16" spans="1:14" ht="15" hidden="1" customHeight="1" outlineLevel="1">
      <c r="A16" s="402"/>
      <c r="B16" s="402"/>
      <c r="C16" s="135"/>
      <c r="D16" s="96"/>
      <c r="E16" s="90"/>
      <c r="F16" s="87"/>
      <c r="G16" s="87"/>
      <c r="H16" s="87"/>
      <c r="N16" s="86">
        <f>N15*730</f>
        <v>405150</v>
      </c>
    </row>
    <row r="17" spans="1:14" ht="15.75" hidden="1" customHeight="1" outlineLevel="1">
      <c r="A17" s="402"/>
      <c r="B17" s="402"/>
      <c r="C17" s="144"/>
      <c r="D17" s="112"/>
      <c r="E17" s="113"/>
      <c r="F17" s="113"/>
      <c r="G17" s="113"/>
      <c r="H17" s="113"/>
      <c r="N17" s="86">
        <f>N15*730</f>
        <v>405150</v>
      </c>
    </row>
    <row r="18" spans="1:14" ht="15.75" hidden="1" customHeight="1" outlineLevel="1">
      <c r="A18" s="402"/>
      <c r="B18" s="402"/>
      <c r="C18" s="115"/>
      <c r="D18" s="117"/>
      <c r="E18" s="97"/>
      <c r="F18" s="97"/>
      <c r="G18" s="97"/>
      <c r="H18" s="97"/>
    </row>
    <row r="19" spans="1:14" ht="49.5" customHeight="1" collapsed="1">
      <c r="A19" s="402"/>
      <c r="B19" s="402"/>
      <c r="C19" s="396" t="s">
        <v>142</v>
      </c>
      <c r="D19" s="397"/>
      <c r="E19" s="397"/>
      <c r="F19" s="397"/>
      <c r="G19" s="397"/>
      <c r="H19" s="397"/>
    </row>
    <row r="20" spans="1:14" ht="15.75" customHeight="1" outlineLevel="2">
      <c r="A20" s="402"/>
      <c r="B20" s="402"/>
      <c r="C20" s="135" t="str">
        <f>расчет!N21</f>
        <v>Классные журналы</v>
      </c>
      <c r="D20" s="392" t="s">
        <v>153</v>
      </c>
      <c r="E20" s="393"/>
      <c r="F20" s="98">
        <v>54</v>
      </c>
      <c r="G20" s="87">
        <f>G9</f>
        <v>405150</v>
      </c>
      <c r="H20" s="119">
        <f>расчет!S21</f>
        <v>4.225581017389891E-4</v>
      </c>
    </row>
    <row r="21" spans="1:14" ht="15.75" customHeight="1" outlineLevel="2">
      <c r="A21" s="402"/>
      <c r="B21" s="402"/>
      <c r="C21" s="135" t="str">
        <f>расчет!N22</f>
        <v>Бумага для офисной техники</v>
      </c>
      <c r="D21" s="392" t="s">
        <v>153</v>
      </c>
      <c r="E21" s="393"/>
      <c r="F21" s="98">
        <v>60</v>
      </c>
      <c r="G21" s="87">
        <f>G9</f>
        <v>405150</v>
      </c>
      <c r="H21" s="119">
        <f>расчет!S22</f>
        <v>2.4378352023403217E-4</v>
      </c>
    </row>
    <row r="22" spans="1:14" ht="15.75" customHeight="1" outlineLevel="2">
      <c r="A22" s="402"/>
      <c r="B22" s="402"/>
      <c r="C22" s="135" t="str">
        <f>расчет!N23</f>
        <v>Канцелярский набор</v>
      </c>
      <c r="D22" s="392" t="s">
        <v>153</v>
      </c>
      <c r="E22" s="393"/>
      <c r="F22" s="98">
        <v>4</v>
      </c>
      <c r="G22" s="87">
        <f>G9</f>
        <v>405150</v>
      </c>
      <c r="H22" s="119">
        <f>расчет!S23</f>
        <v>1.300178774581505E-4</v>
      </c>
    </row>
    <row r="23" spans="1:14" ht="15.75" customHeight="1" outlineLevel="2">
      <c r="A23" s="402"/>
      <c r="B23" s="402"/>
      <c r="C23" s="135" t="str">
        <f>расчет!N24</f>
        <v>Набор шариковых ручек</v>
      </c>
      <c r="D23" s="392" t="s">
        <v>153</v>
      </c>
      <c r="E23" s="393"/>
      <c r="F23" s="98">
        <v>50</v>
      </c>
      <c r="G23" s="87">
        <f>G9</f>
        <v>405150</v>
      </c>
      <c r="H23" s="119">
        <f>расчет!S24</f>
        <v>1.6252234682268812E-4</v>
      </c>
    </row>
    <row r="24" spans="1:14" ht="15.75" customHeight="1" outlineLevel="2">
      <c r="A24" s="402"/>
      <c r="B24" s="402"/>
      <c r="C24" s="135" t="str">
        <f>расчет!N25</f>
        <v>Набор гелевых ручек</v>
      </c>
      <c r="D24" s="392" t="s">
        <v>153</v>
      </c>
      <c r="E24" s="393"/>
      <c r="F24" s="98">
        <v>50</v>
      </c>
      <c r="G24" s="87">
        <f>G9</f>
        <v>405150</v>
      </c>
      <c r="H24" s="119">
        <f>расчет!S25</f>
        <v>1.6252234682268812E-4</v>
      </c>
    </row>
    <row r="25" spans="1:14" ht="15.75" customHeight="1" outlineLevel="2">
      <c r="A25" s="402"/>
      <c r="B25" s="402"/>
      <c r="C25" s="135" t="str">
        <f>расчет!N26</f>
        <v>Стержень для ручек</v>
      </c>
      <c r="D25" s="392" t="s">
        <v>153</v>
      </c>
      <c r="E25" s="393"/>
      <c r="F25" s="98">
        <v>100</v>
      </c>
      <c r="G25" s="87">
        <f>G9</f>
        <v>405150</v>
      </c>
      <c r="H25" s="119">
        <f>расчет!S26</f>
        <v>1.6252234682268812E-4</v>
      </c>
    </row>
    <row r="26" spans="1:14" ht="15.75" customHeight="1" outlineLevel="2">
      <c r="A26" s="402"/>
      <c r="B26" s="402"/>
      <c r="C26" s="135" t="str">
        <f>расчет!N27</f>
        <v>Скобы для степлера</v>
      </c>
      <c r="D26" s="392" t="s">
        <v>153</v>
      </c>
      <c r="E26" s="393"/>
      <c r="F26" s="98">
        <v>45</v>
      </c>
      <c r="G26" s="87">
        <f>G9</f>
        <v>405150</v>
      </c>
      <c r="H26" s="119">
        <f>расчет!S27</f>
        <v>9.7513408093612871E-5</v>
      </c>
    </row>
    <row r="27" spans="1:14" ht="15.75" customHeight="1" outlineLevel="2">
      <c r="A27" s="402"/>
      <c r="B27" s="402"/>
      <c r="C27" s="135" t="str">
        <f>расчет!N28</f>
        <v>Архивная папка</v>
      </c>
      <c r="D27" s="392" t="s">
        <v>153</v>
      </c>
      <c r="E27" s="393"/>
      <c r="F27" s="98">
        <v>20</v>
      </c>
      <c r="G27" s="87">
        <f>G9</f>
        <v>405150</v>
      </c>
      <c r="H27" s="119">
        <f>расчет!S28</f>
        <v>1.6252234682268812E-4</v>
      </c>
    </row>
    <row r="28" spans="1:14" ht="15.75" customHeight="1" outlineLevel="2">
      <c r="A28" s="402"/>
      <c r="B28" s="402"/>
      <c r="C28" s="135" t="str">
        <f>расчет!N29</f>
        <v>Пластиковая папка</v>
      </c>
      <c r="D28" s="392" t="s">
        <v>153</v>
      </c>
      <c r="E28" s="393"/>
      <c r="F28" s="98">
        <v>40</v>
      </c>
      <c r="G28" s="87">
        <f>G9</f>
        <v>405150</v>
      </c>
      <c r="H28" s="119">
        <f>расчет!S29</f>
        <v>1.1376564277588168E-4</v>
      </c>
    </row>
    <row r="29" spans="1:14" ht="15.75" customHeight="1" outlineLevel="2">
      <c r="A29" s="402"/>
      <c r="B29" s="402"/>
      <c r="C29" s="135" t="str">
        <f>расчет!N30</f>
        <v>Скотч</v>
      </c>
      <c r="D29" s="392" t="s">
        <v>153</v>
      </c>
      <c r="E29" s="393"/>
      <c r="F29" s="98">
        <v>60</v>
      </c>
      <c r="G29" s="87">
        <f>G9</f>
        <v>405150</v>
      </c>
      <c r="H29" s="119">
        <f>расчет!S30</f>
        <v>1.6252234682268812E-4</v>
      </c>
    </row>
    <row r="30" spans="1:14" ht="15.75" customHeight="1" outlineLevel="2">
      <c r="A30" s="402"/>
      <c r="B30" s="402"/>
      <c r="C30" s="135" t="str">
        <f>расчет!N31</f>
        <v>Ножницы</v>
      </c>
      <c r="D30" s="392" t="s">
        <v>153</v>
      </c>
      <c r="E30" s="393"/>
      <c r="F30" s="98">
        <v>30</v>
      </c>
      <c r="G30" s="87">
        <f>G9</f>
        <v>405150</v>
      </c>
      <c r="H30" s="119">
        <f>расчет!S31</f>
        <v>1.300178774581505E-4</v>
      </c>
    </row>
    <row r="31" spans="1:14" ht="15.75" customHeight="1" outlineLevel="2">
      <c r="A31" s="402"/>
      <c r="B31" s="402"/>
      <c r="C31" s="135" t="str">
        <f>расчет!N32</f>
        <v>Канцелярские скрепки, булавки</v>
      </c>
      <c r="D31" s="392" t="s">
        <v>153</v>
      </c>
      <c r="E31" s="393"/>
      <c r="F31" s="98">
        <v>20</v>
      </c>
      <c r="G31" s="87">
        <f>G9</f>
        <v>405150</v>
      </c>
      <c r="H31" s="119">
        <f>расчет!S32</f>
        <v>1.1376564277588168E-4</v>
      </c>
    </row>
    <row r="32" spans="1:14" ht="15.75" customHeight="1" outlineLevel="2">
      <c r="A32" s="402"/>
      <c r="B32" s="402"/>
      <c r="C32" s="135" t="str">
        <f>расчет!N33</f>
        <v>Набор файлов (100шт.)</v>
      </c>
      <c r="D32" s="392" t="s">
        <v>153</v>
      </c>
      <c r="E32" s="393"/>
      <c r="F32" s="98">
        <v>30</v>
      </c>
      <c r="G32" s="87">
        <f>G9</f>
        <v>405150</v>
      </c>
      <c r="H32" s="119">
        <f>расчет!S33</f>
        <v>8.1261173411344061E-5</v>
      </c>
    </row>
    <row r="33" spans="1:8" ht="15.75" customHeight="1" outlineLevel="2">
      <c r="A33" s="402"/>
      <c r="B33" s="402"/>
      <c r="C33" s="135" t="str">
        <f>расчет!N34</f>
        <v>Клей канцелярский</v>
      </c>
      <c r="D33" s="392" t="s">
        <v>153</v>
      </c>
      <c r="E33" s="393"/>
      <c r="F33" s="98">
        <v>5</v>
      </c>
      <c r="G33" s="87">
        <f>G9</f>
        <v>405150</v>
      </c>
      <c r="H33" s="119">
        <f>расчет!S34</f>
        <v>3.2504469364537626E-5</v>
      </c>
    </row>
    <row r="34" spans="1:8" ht="15.75" customHeight="1" outlineLevel="2">
      <c r="A34" s="402"/>
      <c r="B34" s="402"/>
      <c r="C34" s="135" t="str">
        <f>расчет!N35</f>
        <v>Набор маркеров</v>
      </c>
      <c r="D34" s="392" t="s">
        <v>153</v>
      </c>
      <c r="E34" s="393"/>
      <c r="F34" s="98">
        <v>15</v>
      </c>
      <c r="G34" s="87">
        <f>G9</f>
        <v>405150</v>
      </c>
      <c r="H34" s="119">
        <f>расчет!S35</f>
        <v>9.7513408093612871E-5</v>
      </c>
    </row>
    <row r="35" spans="1:8" ht="15.75" customHeight="1" outlineLevel="2">
      <c r="A35" s="402"/>
      <c r="B35" s="402"/>
      <c r="C35" s="135" t="str">
        <f>расчет!N36</f>
        <v>картридж</v>
      </c>
      <c r="D35" s="392" t="s">
        <v>153</v>
      </c>
      <c r="E35" s="393"/>
      <c r="F35" s="99">
        <v>10</v>
      </c>
      <c r="G35" s="87">
        <f>G9</f>
        <v>405150</v>
      </c>
      <c r="H35" s="119">
        <f>расчет!S36</f>
        <v>8.1261173411344061E-5</v>
      </c>
    </row>
    <row r="36" spans="1:8" ht="15.75" customHeight="1" outlineLevel="2">
      <c r="A36" s="402"/>
      <c r="B36" s="402"/>
      <c r="C36" s="135" t="str">
        <f>расчет!N37</f>
        <v>тонер</v>
      </c>
      <c r="D36" s="392" t="s">
        <v>153</v>
      </c>
      <c r="E36" s="393"/>
      <c r="F36" s="100">
        <v>20</v>
      </c>
      <c r="G36" s="87">
        <f>G9</f>
        <v>405150</v>
      </c>
      <c r="H36" s="119">
        <f>расчет!S37</f>
        <v>1.6252234682268812E-4</v>
      </c>
    </row>
    <row r="37" spans="1:8" ht="15.75" customHeight="1" outlineLevel="2">
      <c r="A37" s="402"/>
      <c r="B37" s="402"/>
      <c r="C37" s="135" t="str">
        <f>расчет!N38</f>
        <v>Фотобумага</v>
      </c>
      <c r="D37" s="392" t="s">
        <v>153</v>
      </c>
      <c r="E37" s="393"/>
      <c r="F37" s="100">
        <v>5</v>
      </c>
      <c r="G37" s="87">
        <f>G9</f>
        <v>405150</v>
      </c>
      <c r="H37" s="119">
        <f>расчет!S38</f>
        <v>1.300178774581505E-4</v>
      </c>
    </row>
    <row r="38" spans="1:8" ht="15.75" customHeight="1" outlineLevel="2">
      <c r="A38" s="402"/>
      <c r="B38" s="402"/>
      <c r="C38" s="135" t="str">
        <f>расчет!N39</f>
        <v>Прочие журналы регистрации</v>
      </c>
      <c r="D38" s="392" t="s">
        <v>153</v>
      </c>
      <c r="E38" s="393"/>
      <c r="F38" s="101">
        <v>100</v>
      </c>
      <c r="G38" s="87">
        <f>G9</f>
        <v>405150</v>
      </c>
      <c r="H38" s="119">
        <f>расчет!S39</f>
        <v>1.1376564277588168E-4</v>
      </c>
    </row>
    <row r="39" spans="1:8" ht="31.5" outlineLevel="2">
      <c r="A39" s="402"/>
      <c r="B39" s="402"/>
      <c r="C39" s="135" t="str">
        <f>расчет!N40</f>
        <v>Расходные материалы  (мазь парафин, пробки, шайбы, прочие)</v>
      </c>
      <c r="D39" s="392" t="s">
        <v>153</v>
      </c>
      <c r="E39" s="393"/>
      <c r="F39" s="101">
        <v>20</v>
      </c>
      <c r="G39" s="87">
        <f>G9</f>
        <v>405150</v>
      </c>
      <c r="H39" s="119">
        <f>расчет!S40</f>
        <v>0</v>
      </c>
    </row>
    <row r="40" spans="1:8" ht="15.75" hidden="1" customHeight="1" outlineLevel="2">
      <c r="A40" s="402"/>
      <c r="B40" s="402"/>
      <c r="C40" s="135"/>
      <c r="D40" s="392"/>
      <c r="E40" s="393"/>
      <c r="F40" s="101"/>
      <c r="G40" s="87"/>
      <c r="H40" s="119"/>
    </row>
    <row r="41" spans="1:8" ht="15.75" hidden="1" customHeight="1" outlineLevel="2">
      <c r="A41" s="402"/>
      <c r="B41" s="402"/>
      <c r="C41" s="135"/>
      <c r="D41" s="392"/>
      <c r="E41" s="393"/>
      <c r="F41" s="101"/>
      <c r="G41" s="87"/>
      <c r="H41" s="119"/>
    </row>
    <row r="42" spans="1:8" ht="15.75" hidden="1" customHeight="1" outlineLevel="2">
      <c r="A42" s="402"/>
      <c r="B42" s="402"/>
      <c r="C42" s="135"/>
      <c r="D42" s="392"/>
      <c r="E42" s="393"/>
      <c r="F42" s="101"/>
      <c r="G42" s="87"/>
      <c r="H42" s="119"/>
    </row>
    <row r="43" spans="1:8" ht="15.75" hidden="1" customHeight="1" outlineLevel="2">
      <c r="A43" s="402"/>
      <c r="B43" s="402"/>
      <c r="C43" s="135"/>
      <c r="D43" s="392"/>
      <c r="E43" s="393"/>
      <c r="F43" s="101"/>
      <c r="G43" s="87">
        <f>G9</f>
        <v>405150</v>
      </c>
      <c r="H43" s="119">
        <f>расчет!S44</f>
        <v>0</v>
      </c>
    </row>
    <row r="44" spans="1:8" ht="15.75" hidden="1" customHeight="1" outlineLevel="2">
      <c r="A44" s="402"/>
      <c r="B44" s="402"/>
      <c r="C44" s="135"/>
      <c r="D44" s="392"/>
      <c r="E44" s="393"/>
      <c r="F44" s="101"/>
      <c r="G44" s="87">
        <f>G9</f>
        <v>405150</v>
      </c>
      <c r="H44" s="119">
        <f>расчет!S45</f>
        <v>0</v>
      </c>
    </row>
    <row r="45" spans="1:8" ht="15.75" hidden="1" customHeight="1" outlineLevel="2">
      <c r="A45" s="402"/>
      <c r="B45" s="402"/>
      <c r="C45" s="135"/>
      <c r="D45" s="392"/>
      <c r="E45" s="393"/>
      <c r="F45" s="101"/>
      <c r="G45" s="87">
        <f>G9</f>
        <v>405150</v>
      </c>
      <c r="H45" s="119" t="str">
        <f>расчет!S46</f>
        <v>Норма (шт.)</v>
      </c>
    </row>
    <row r="46" spans="1:8" ht="35.25" customHeight="1" collapsed="1">
      <c r="A46" s="402"/>
      <c r="B46" s="402"/>
      <c r="C46" s="396" t="s">
        <v>143</v>
      </c>
      <c r="D46" s="397"/>
      <c r="E46" s="397"/>
      <c r="F46" s="397"/>
      <c r="G46" s="397"/>
      <c r="H46" s="397"/>
    </row>
    <row r="47" spans="1:8" ht="15.75" customHeight="1" outlineLevel="2">
      <c r="A47" s="402"/>
      <c r="B47" s="402"/>
      <c r="C47" s="143" t="str">
        <f>расчет!N49</f>
        <v>медосмотр (пед работники)</v>
      </c>
      <c r="D47" s="394" t="s">
        <v>155</v>
      </c>
      <c r="E47" s="395"/>
      <c r="F47" s="87">
        <v>15</v>
      </c>
      <c r="G47" s="87">
        <f>G9</f>
        <v>405150</v>
      </c>
      <c r="H47" s="119">
        <f>расчет!S49</f>
        <v>4.273151308304892E-6</v>
      </c>
    </row>
    <row r="48" spans="1:8" ht="31.5" outlineLevel="2">
      <c r="A48" s="402"/>
      <c r="B48" s="402"/>
      <c r="C48" s="143" t="str">
        <f>расчет!N50</f>
        <v>командировочные расходы педработников</v>
      </c>
      <c r="D48" s="394" t="s">
        <v>153</v>
      </c>
      <c r="E48" s="395"/>
      <c r="F48" s="87">
        <v>8</v>
      </c>
      <c r="G48" s="87">
        <f t="shared" ref="G48" si="2">G10</f>
        <v>405150</v>
      </c>
      <c r="H48" s="119">
        <f>расчет!S50</f>
        <v>4.273151308304892E-6</v>
      </c>
    </row>
    <row r="49" spans="1:8" ht="31.5" outlineLevel="2">
      <c r="A49" s="402"/>
      <c r="B49" s="402"/>
      <c r="C49" s="143" t="str">
        <f>расчет!N51</f>
        <v>Питание участников мероприятий (соревнования)</v>
      </c>
      <c r="D49" s="394" t="s">
        <v>155</v>
      </c>
      <c r="E49" s="395"/>
      <c r="F49" s="87">
        <v>20</v>
      </c>
      <c r="G49" s="87">
        <f>G9</f>
        <v>405150</v>
      </c>
      <c r="H49" s="119">
        <f>расчет!S51</f>
        <v>4.273151308304892E-6</v>
      </c>
    </row>
    <row r="50" spans="1:8" ht="63" outlineLevel="2">
      <c r="A50" s="402"/>
      <c r="B50" s="402"/>
      <c r="C50" s="143" t="str">
        <f>расчет!N52</f>
        <v>Участие воспитанников в различных мероприятиях за пределами района (проезд, проживание, питание)</v>
      </c>
      <c r="D50" s="394" t="s">
        <v>155</v>
      </c>
      <c r="E50" s="395"/>
      <c r="F50" s="87">
        <v>1200</v>
      </c>
      <c r="G50" s="87">
        <f>G12</f>
        <v>405150</v>
      </c>
      <c r="H50" s="119">
        <f>расчет!S52</f>
        <v>4.273151308304892E-6</v>
      </c>
    </row>
    <row r="51" spans="1:8" ht="31.5" outlineLevel="2">
      <c r="A51" s="402"/>
      <c r="B51" s="402"/>
      <c r="C51" s="143" t="str">
        <f>расчет!N53</f>
        <v>Награждение участников мероприятий</v>
      </c>
      <c r="D51" s="394" t="s">
        <v>155</v>
      </c>
      <c r="E51" s="395"/>
      <c r="F51" s="87">
        <v>140</v>
      </c>
      <c r="G51" s="87">
        <f>G9</f>
        <v>405150</v>
      </c>
      <c r="H51" s="119">
        <f>расчет!S53</f>
        <v>4.273151308304892E-6</v>
      </c>
    </row>
    <row r="52" spans="1:8" ht="15.75" hidden="1" customHeight="1" outlineLevel="2">
      <c r="A52" s="402"/>
      <c r="B52" s="402"/>
      <c r="C52" s="143">
        <f>расчет!N54</f>
        <v>0</v>
      </c>
      <c r="D52" s="394" t="s">
        <v>155</v>
      </c>
      <c r="E52" s="395"/>
      <c r="F52" s="87">
        <v>1200</v>
      </c>
      <c r="G52" s="87">
        <f>G9</f>
        <v>405150</v>
      </c>
      <c r="H52" s="119">
        <f>расчет!S54</f>
        <v>0</v>
      </c>
    </row>
    <row r="53" spans="1:8" ht="15.75" hidden="1" customHeight="1" outlineLevel="2">
      <c r="A53" s="402"/>
      <c r="B53" s="402"/>
      <c r="C53" s="118"/>
      <c r="D53" s="102"/>
      <c r="E53" s="87"/>
      <c r="F53" s="87">
        <v>0.4</v>
      </c>
      <c r="G53" s="87">
        <f>G9</f>
        <v>405150</v>
      </c>
      <c r="H53" s="87">
        <f t="shared" ref="H53:H62" si="3">F53/G53</f>
        <v>9.8728865852153534E-7</v>
      </c>
    </row>
    <row r="54" spans="1:8" ht="15.75" hidden="1" customHeight="1" outlineLevel="2">
      <c r="A54" s="402"/>
      <c r="B54" s="402"/>
      <c r="C54" s="118"/>
      <c r="D54" s="102"/>
      <c r="E54" s="87"/>
      <c r="F54" s="87">
        <v>0.4</v>
      </c>
      <c r="G54" s="87">
        <f t="shared" ref="G54:G61" si="4">G9</f>
        <v>405150</v>
      </c>
      <c r="H54" s="87">
        <f t="shared" si="3"/>
        <v>9.8728865852153534E-7</v>
      </c>
    </row>
    <row r="55" spans="1:8" ht="15.75" hidden="1" customHeight="1" outlineLevel="2">
      <c r="A55" s="402"/>
      <c r="B55" s="402"/>
      <c r="C55" s="118"/>
      <c r="D55" s="102"/>
      <c r="E55" s="87"/>
      <c r="F55" s="87">
        <v>0.4</v>
      </c>
      <c r="G55" s="87">
        <f t="shared" si="4"/>
        <v>405150</v>
      </c>
      <c r="H55" s="87">
        <f t="shared" si="3"/>
        <v>9.8728865852153534E-7</v>
      </c>
    </row>
    <row r="56" spans="1:8" ht="15.75" hidden="1" customHeight="1" outlineLevel="2">
      <c r="A56" s="402"/>
      <c r="B56" s="402"/>
      <c r="C56" s="118"/>
      <c r="D56" s="102"/>
      <c r="E56" s="87"/>
      <c r="F56" s="87">
        <v>0.4</v>
      </c>
      <c r="G56" s="87">
        <f t="shared" si="4"/>
        <v>405150</v>
      </c>
      <c r="H56" s="87">
        <f t="shared" si="3"/>
        <v>9.8728865852153534E-7</v>
      </c>
    </row>
    <row r="57" spans="1:8" ht="15.75" hidden="1" customHeight="1" outlineLevel="2">
      <c r="A57" s="402"/>
      <c r="B57" s="402"/>
      <c r="C57" s="118"/>
      <c r="D57" s="102"/>
      <c r="E57" s="87"/>
      <c r="F57" s="87">
        <v>0.4</v>
      </c>
      <c r="G57" s="87">
        <f t="shared" si="4"/>
        <v>405150</v>
      </c>
      <c r="H57" s="87">
        <f t="shared" si="3"/>
        <v>9.8728865852153534E-7</v>
      </c>
    </row>
    <row r="58" spans="1:8" ht="15.75" hidden="1" customHeight="1" outlineLevel="2">
      <c r="A58" s="402"/>
      <c r="B58" s="402"/>
      <c r="C58" s="135" t="s">
        <v>23</v>
      </c>
      <c r="D58" s="96"/>
      <c r="E58" s="87"/>
      <c r="F58" s="87">
        <v>0.4</v>
      </c>
      <c r="G58" s="87">
        <f t="shared" si="4"/>
        <v>405150</v>
      </c>
      <c r="H58" s="87">
        <f t="shared" si="3"/>
        <v>9.8728865852153534E-7</v>
      </c>
    </row>
    <row r="59" spans="1:8" ht="15.75" hidden="1" customHeight="1" outlineLevel="2">
      <c r="A59" s="402"/>
      <c r="B59" s="402"/>
      <c r="C59" s="135" t="s">
        <v>23</v>
      </c>
      <c r="D59" s="96"/>
      <c r="E59" s="87"/>
      <c r="F59" s="87">
        <v>0.4</v>
      </c>
      <c r="G59" s="87">
        <f t="shared" si="4"/>
        <v>0</v>
      </c>
      <c r="H59" s="87" t="e">
        <f t="shared" si="3"/>
        <v>#DIV/0!</v>
      </c>
    </row>
    <row r="60" spans="1:8" ht="15.75" hidden="1" customHeight="1" outlineLevel="2">
      <c r="A60" s="402"/>
      <c r="B60" s="402"/>
      <c r="C60" s="135" t="s">
        <v>23</v>
      </c>
      <c r="D60" s="96"/>
      <c r="E60" s="87"/>
      <c r="F60" s="87">
        <v>0.4</v>
      </c>
      <c r="G60" s="87">
        <f t="shared" si="4"/>
        <v>0</v>
      </c>
      <c r="H60" s="87" t="e">
        <f t="shared" si="3"/>
        <v>#DIV/0!</v>
      </c>
    </row>
    <row r="61" spans="1:8" ht="15.75" hidden="1" customHeight="1" outlineLevel="2">
      <c r="A61" s="402"/>
      <c r="B61" s="402"/>
      <c r="C61" s="135" t="s">
        <v>23</v>
      </c>
      <c r="D61" s="96"/>
      <c r="E61" s="87"/>
      <c r="F61" s="87">
        <v>0.4</v>
      </c>
      <c r="G61" s="87">
        <f t="shared" si="4"/>
        <v>0</v>
      </c>
      <c r="H61" s="87" t="e">
        <f t="shared" si="3"/>
        <v>#DIV/0!</v>
      </c>
    </row>
    <row r="62" spans="1:8" ht="15.75" hidden="1" customHeight="1" outlineLevel="2">
      <c r="A62" s="402"/>
      <c r="B62" s="402"/>
      <c r="C62" s="135"/>
      <c r="D62" s="96"/>
      <c r="E62" s="87"/>
      <c r="F62" s="87"/>
      <c r="G62" s="87"/>
      <c r="H62" s="87" t="e">
        <f t="shared" si="3"/>
        <v>#DIV/0!</v>
      </c>
    </row>
    <row r="63" spans="1:8" ht="15" hidden="1" customHeight="1" outlineLevel="2">
      <c r="A63" s="402"/>
      <c r="B63" s="402"/>
      <c r="C63" s="144"/>
      <c r="D63" s="112"/>
      <c r="E63" s="112"/>
      <c r="F63" s="112"/>
      <c r="G63" s="112"/>
      <c r="H63" s="112"/>
    </row>
    <row r="64" spans="1:8" ht="37.5" customHeight="1" collapsed="1" thickBot="1">
      <c r="A64" s="402"/>
      <c r="B64" s="402"/>
      <c r="C64" s="404" t="s">
        <v>152</v>
      </c>
      <c r="D64" s="404"/>
      <c r="E64" s="404"/>
      <c r="F64" s="404"/>
      <c r="G64" s="404"/>
      <c r="H64" s="404"/>
    </row>
    <row r="65" spans="1:8" ht="15" customHeight="1">
      <c r="A65" s="402"/>
      <c r="B65" s="402"/>
      <c r="C65" s="398" t="s">
        <v>144</v>
      </c>
      <c r="D65" s="398"/>
      <c r="E65" s="398"/>
      <c r="F65" s="398"/>
      <c r="G65" s="398"/>
      <c r="H65" s="398"/>
    </row>
    <row r="66" spans="1:8" ht="15.75" customHeight="1">
      <c r="A66" s="402"/>
      <c r="B66" s="402"/>
      <c r="C66" s="135" t="s">
        <v>16</v>
      </c>
      <c r="D66" s="104" t="s">
        <v>45</v>
      </c>
      <c r="E66" s="105">
        <f>(227.72*1000)</f>
        <v>227720</v>
      </c>
      <c r="F66" s="87">
        <v>405150</v>
      </c>
      <c r="G66" s="106">
        <v>1</v>
      </c>
      <c r="H66" s="119">
        <f>расчет!S69</f>
        <v>0.64375114841102643</v>
      </c>
    </row>
    <row r="67" spans="1:8" ht="15.75" customHeight="1">
      <c r="A67" s="402"/>
      <c r="B67" s="402"/>
      <c r="C67" s="135" t="s">
        <v>13</v>
      </c>
      <c r="D67" s="104" t="s">
        <v>167</v>
      </c>
      <c r="E67" s="105">
        <v>941.96</v>
      </c>
      <c r="F67" s="87">
        <v>405150</v>
      </c>
      <c r="G67" s="106">
        <v>1</v>
      </c>
      <c r="H67" s="119">
        <f>расчет!S70</f>
        <v>3.0009956507041952E-3</v>
      </c>
    </row>
    <row r="68" spans="1:8" ht="18.75">
      <c r="A68" s="402"/>
      <c r="B68" s="402"/>
      <c r="C68" s="135" t="s">
        <v>14</v>
      </c>
      <c r="D68" s="104" t="s">
        <v>136</v>
      </c>
      <c r="E68" s="105">
        <v>11111.91</v>
      </c>
      <c r="F68" s="87">
        <v>405150</v>
      </c>
      <c r="G68" s="106">
        <v>1</v>
      </c>
      <c r="H68" s="119">
        <f>расчет!S71</f>
        <v>1.6234408240070251E-2</v>
      </c>
    </row>
    <row r="69" spans="1:8" ht="18.75">
      <c r="A69" s="402"/>
      <c r="B69" s="402"/>
      <c r="C69" s="135" t="s">
        <v>15</v>
      </c>
      <c r="D69" s="104" t="s">
        <v>136</v>
      </c>
      <c r="E69" s="105">
        <v>9932.9699999999993</v>
      </c>
      <c r="F69" s="87">
        <v>405150</v>
      </c>
      <c r="G69" s="106">
        <v>1</v>
      </c>
      <c r="H69" s="119">
        <f>расчет!S72</f>
        <v>1.4956050577089896E-4</v>
      </c>
    </row>
    <row r="70" spans="1:8" ht="15.75" customHeight="1">
      <c r="A70" s="402"/>
      <c r="B70" s="402"/>
      <c r="C70" s="144"/>
      <c r="D70" s="112"/>
      <c r="E70" s="113"/>
      <c r="F70" s="113"/>
      <c r="G70" s="113"/>
      <c r="H70" s="113"/>
    </row>
    <row r="71" spans="1:8" ht="49.5" customHeight="1">
      <c r="A71" s="402"/>
      <c r="B71" s="402"/>
      <c r="C71" s="396" t="s">
        <v>145</v>
      </c>
      <c r="D71" s="397"/>
      <c r="E71" s="397"/>
      <c r="F71" s="397"/>
      <c r="G71" s="397"/>
      <c r="H71" s="397"/>
    </row>
    <row r="72" spans="1:8" ht="64.5" customHeight="1">
      <c r="A72" s="402"/>
      <c r="B72" s="402"/>
      <c r="C72" s="135" t="str">
        <f>расчет!N76</f>
        <v>Техническое обслуживание и регламентно-профилактический ремонт систем охранно-тревожной сигнализации</v>
      </c>
      <c r="D72" s="11" t="s">
        <v>162</v>
      </c>
      <c r="E72" s="107">
        <v>1</v>
      </c>
      <c r="F72" s="87">
        <v>405150</v>
      </c>
      <c r="G72" s="106">
        <v>1</v>
      </c>
      <c r="H72" s="119">
        <f>расчет!S76</f>
        <v>4.2731573077399699E-6</v>
      </c>
    </row>
    <row r="73" spans="1:8" ht="15.75" customHeight="1">
      <c r="A73" s="402"/>
      <c r="B73" s="402"/>
      <c r="C73" s="135" t="str">
        <f>расчет!N77</f>
        <v>Проведение текущего ремонта (строительные материалы)</v>
      </c>
      <c r="D73" s="11" t="s">
        <v>162</v>
      </c>
      <c r="E73" s="107">
        <v>1</v>
      </c>
      <c r="F73" s="87">
        <v>405150</v>
      </c>
      <c r="G73" s="106">
        <v>1</v>
      </c>
      <c r="H73" s="119">
        <f>расчет!S77</f>
        <v>4.2731573077399699E-6</v>
      </c>
    </row>
    <row r="74" spans="1:8" ht="15.75" customHeight="1">
      <c r="A74" s="402"/>
      <c r="B74" s="402"/>
      <c r="C74" s="135" t="str">
        <f>расчет!N78</f>
        <v>Обслуживание тревожной кнопки</v>
      </c>
      <c r="D74" s="11" t="s">
        <v>162</v>
      </c>
      <c r="E74" s="89">
        <v>1</v>
      </c>
      <c r="F74" s="87">
        <v>405150</v>
      </c>
      <c r="G74" s="106">
        <v>1</v>
      </c>
      <c r="H74" s="119">
        <f>расчет!S78</f>
        <v>4.2731573077399699E-6</v>
      </c>
    </row>
    <row r="75" spans="1:8" ht="31.5">
      <c r="A75" s="402"/>
      <c r="B75" s="402"/>
      <c r="C75" s="135" t="str">
        <f>расчет!N79</f>
        <v>Уборка территории от снега, заливка катков</v>
      </c>
      <c r="D75" s="11" t="s">
        <v>162</v>
      </c>
      <c r="E75" s="136"/>
      <c r="F75" s="137"/>
      <c r="G75" s="138"/>
      <c r="H75" s="119">
        <f>расчет!S79</f>
        <v>4.2731573077399699E-6</v>
      </c>
    </row>
    <row r="76" spans="1:8" ht="15.75" customHeight="1">
      <c r="A76" s="402"/>
      <c r="B76" s="402"/>
      <c r="C76" s="135" t="e">
        <f>расчет!#REF!</f>
        <v>#REF!</v>
      </c>
      <c r="D76" s="11" t="s">
        <v>162</v>
      </c>
      <c r="E76" s="136"/>
      <c r="F76" s="137"/>
      <c r="G76" s="138"/>
      <c r="H76" s="119" t="e">
        <f>расчет!#REF!</f>
        <v>#REF!</v>
      </c>
    </row>
    <row r="77" spans="1:8" ht="15.75" customHeight="1">
      <c r="A77" s="402"/>
      <c r="B77" s="402"/>
      <c r="C77" s="135" t="str">
        <f>расчет!N80</f>
        <v>Дератизация и дезинфекция</v>
      </c>
      <c r="D77" s="11" t="s">
        <v>162</v>
      </c>
      <c r="E77" s="136"/>
      <c r="F77" s="137"/>
      <c r="G77" s="138"/>
      <c r="H77" s="119">
        <f>расчет!S80</f>
        <v>4.2731573077399699E-6</v>
      </c>
    </row>
    <row r="78" spans="1:8" ht="31.5">
      <c r="A78" s="402"/>
      <c r="B78" s="402"/>
      <c r="C78" s="135" t="str">
        <f>расчет!N81</f>
        <v xml:space="preserve">Аварийно-диспетчерское обслуживание </v>
      </c>
      <c r="D78" s="11" t="s">
        <v>162</v>
      </c>
      <c r="E78" s="136"/>
      <c r="F78" s="137"/>
      <c r="G78" s="138"/>
      <c r="H78" s="119">
        <f>расчет!S81</f>
        <v>4.2731573077399699E-6</v>
      </c>
    </row>
    <row r="79" spans="1:8" ht="15.75" customHeight="1">
      <c r="A79" s="402"/>
      <c r="B79" s="402"/>
      <c r="C79" s="135" t="str">
        <f>расчет!N82</f>
        <v xml:space="preserve">Поверка тепловодосчетчиков </v>
      </c>
      <c r="D79" s="11" t="s">
        <v>162</v>
      </c>
      <c r="E79" s="107">
        <v>1</v>
      </c>
      <c r="F79" s="87">
        <v>405150</v>
      </c>
      <c r="G79" s="106">
        <v>1</v>
      </c>
      <c r="H79" s="119">
        <f>расчет!S82</f>
        <v>4.2731573077399699E-6</v>
      </c>
    </row>
    <row r="80" spans="1:8" ht="47.25">
      <c r="A80" s="402"/>
      <c r="B80" s="402"/>
      <c r="C80" s="135" t="str">
        <f>расчет!N83</f>
        <v>Годовое техобслуживание узлов учета тепловодоснабжения (ООО Теплоучет)</v>
      </c>
      <c r="D80" s="11" t="s">
        <v>162</v>
      </c>
      <c r="E80" s="107">
        <v>1</v>
      </c>
      <c r="F80" s="87">
        <v>405150</v>
      </c>
      <c r="G80" s="106">
        <v>1</v>
      </c>
      <c r="H80" s="119">
        <f>расчет!S83</f>
        <v>4.2731573077399699E-6</v>
      </c>
    </row>
    <row r="81" spans="1:8" ht="15.75" customHeight="1">
      <c r="A81" s="402"/>
      <c r="B81" s="402"/>
      <c r="C81" s="135" t="str">
        <f>расчет!N84</f>
        <v>ТО Автотранспорта</v>
      </c>
      <c r="D81" s="11" t="s">
        <v>162</v>
      </c>
      <c r="E81" s="107">
        <v>1</v>
      </c>
      <c r="F81" s="87">
        <v>405150</v>
      </c>
      <c r="G81" s="106">
        <v>1</v>
      </c>
      <c r="H81" s="119">
        <f>расчет!S84</f>
        <v>4.2731573077399699E-6</v>
      </c>
    </row>
    <row r="82" spans="1:8" ht="31.5">
      <c r="A82" s="402"/>
      <c r="B82" s="402"/>
      <c r="C82" s="135" t="str">
        <f>расчет!N86</f>
        <v>Промывка и опрессовка систем отопления</v>
      </c>
      <c r="D82" s="11" t="s">
        <v>162</v>
      </c>
      <c r="E82" s="107">
        <v>4</v>
      </c>
      <c r="F82" s="87">
        <v>405150</v>
      </c>
      <c r="G82" s="106">
        <v>1</v>
      </c>
      <c r="H82" s="119">
        <f>расчет!S86</f>
        <v>4.2731573077399699E-6</v>
      </c>
    </row>
    <row r="83" spans="1:8" ht="15.75" customHeight="1">
      <c r="A83" s="402"/>
      <c r="B83" s="402"/>
      <c r="C83" s="144"/>
      <c r="D83" s="112"/>
      <c r="E83" s="113"/>
      <c r="F83" s="113"/>
      <c r="G83" s="113"/>
      <c r="H83" s="113"/>
    </row>
    <row r="84" spans="1:8" ht="32.25" customHeight="1">
      <c r="A84" s="402"/>
      <c r="B84" s="402"/>
      <c r="C84" s="396" t="s">
        <v>146</v>
      </c>
      <c r="D84" s="397"/>
      <c r="E84" s="397"/>
      <c r="F84" s="397"/>
      <c r="G84" s="397"/>
      <c r="H84" s="397"/>
    </row>
    <row r="85" spans="1:8" ht="15.75" customHeight="1">
      <c r="A85" s="402"/>
      <c r="B85" s="402"/>
      <c r="C85" s="135"/>
      <c r="D85" s="90"/>
      <c r="E85" s="109"/>
      <c r="F85" s="87">
        <v>405150</v>
      </c>
      <c r="G85" s="106"/>
      <c r="H85" s="119"/>
    </row>
    <row r="86" spans="1:8" ht="15.75" hidden="1" customHeight="1">
      <c r="A86" s="402"/>
      <c r="B86" s="402"/>
      <c r="C86" s="135"/>
      <c r="D86" s="90"/>
      <c r="E86" s="109"/>
      <c r="F86" s="87">
        <v>405150</v>
      </c>
      <c r="G86" s="106"/>
      <c r="H86" s="108">
        <f t="shared" ref="H86:H87" si="5">E86*G86/F86</f>
        <v>0</v>
      </c>
    </row>
    <row r="87" spans="1:8" ht="15.75" hidden="1" customHeight="1">
      <c r="A87" s="402"/>
      <c r="B87" s="402"/>
      <c r="C87" s="135"/>
      <c r="D87" s="90"/>
      <c r="E87" s="109"/>
      <c r="F87" s="87">
        <v>405150</v>
      </c>
      <c r="G87" s="106"/>
      <c r="H87" s="108">
        <f t="shared" si="5"/>
        <v>0</v>
      </c>
    </row>
    <row r="88" spans="1:8" ht="15.75" hidden="1" customHeight="1">
      <c r="A88" s="402"/>
      <c r="B88" s="402"/>
      <c r="C88" s="144"/>
      <c r="D88" s="112"/>
      <c r="E88" s="113"/>
      <c r="F88" s="113"/>
      <c r="G88" s="113"/>
      <c r="H88" s="113"/>
    </row>
    <row r="89" spans="1:8" ht="15" customHeight="1">
      <c r="A89" s="402"/>
      <c r="B89" s="402"/>
      <c r="C89" s="396" t="s">
        <v>147</v>
      </c>
      <c r="D89" s="397"/>
      <c r="E89" s="397"/>
      <c r="F89" s="397"/>
      <c r="G89" s="397"/>
      <c r="H89" s="397"/>
    </row>
    <row r="90" spans="1:8" ht="15.75" customHeight="1">
      <c r="A90" s="402"/>
      <c r="B90" s="402"/>
      <c r="C90" s="135" t="s">
        <v>21</v>
      </c>
      <c r="D90" s="11" t="s">
        <v>162</v>
      </c>
      <c r="E90" s="109">
        <v>1</v>
      </c>
      <c r="F90" s="87">
        <v>405150</v>
      </c>
      <c r="G90" s="106">
        <v>1</v>
      </c>
      <c r="H90" s="119">
        <f>расчет!S94</f>
        <v>8.5468259225230232E-6</v>
      </c>
    </row>
    <row r="91" spans="1:8" ht="15.75" hidden="1" customHeight="1">
      <c r="A91" s="402"/>
      <c r="B91" s="402"/>
      <c r="C91" s="135"/>
      <c r="D91" s="8"/>
      <c r="E91" s="109"/>
      <c r="F91" s="87">
        <v>405150</v>
      </c>
      <c r="G91" s="106">
        <v>1</v>
      </c>
      <c r="H91" s="119" t="e">
        <f>расчет!#REF!</f>
        <v>#REF!</v>
      </c>
    </row>
    <row r="92" spans="1:8" ht="25.5" customHeight="1">
      <c r="A92" s="402"/>
      <c r="B92" s="402"/>
      <c r="C92" s="135" t="s">
        <v>23</v>
      </c>
      <c r="D92" s="11" t="s">
        <v>162</v>
      </c>
      <c r="E92" s="109">
        <v>1</v>
      </c>
      <c r="F92" s="87">
        <v>405150</v>
      </c>
      <c r="G92" s="106">
        <v>1</v>
      </c>
      <c r="H92" s="119">
        <f>расчет!S95</f>
        <v>4.2255810173898909E-6</v>
      </c>
    </row>
    <row r="93" spans="1:8" ht="15.75" customHeight="1">
      <c r="A93" s="402"/>
      <c r="B93" s="402"/>
      <c r="C93" s="135" t="s">
        <v>24</v>
      </c>
      <c r="D93" s="11" t="s">
        <v>162</v>
      </c>
      <c r="E93" s="109">
        <v>1</v>
      </c>
      <c r="F93" s="87">
        <v>405150</v>
      </c>
      <c r="G93" s="106">
        <v>1</v>
      </c>
      <c r="H93" s="119">
        <f>расчет!S96</f>
        <v>4.2255810173898909E-6</v>
      </c>
    </row>
    <row r="94" spans="1:8" ht="15.75" customHeight="1">
      <c r="A94" s="402"/>
      <c r="B94" s="402"/>
      <c r="C94" s="144"/>
      <c r="D94" s="112"/>
      <c r="E94" s="113"/>
      <c r="F94" s="113"/>
      <c r="G94" s="113"/>
      <c r="H94" s="113"/>
    </row>
    <row r="95" spans="1:8" ht="15" customHeight="1">
      <c r="A95" s="402"/>
      <c r="B95" s="402"/>
      <c r="C95" s="396" t="s">
        <v>148</v>
      </c>
      <c r="D95" s="396"/>
      <c r="E95" s="396"/>
      <c r="F95" s="396"/>
      <c r="G95" s="396"/>
      <c r="H95" s="396"/>
    </row>
    <row r="96" spans="1:8" ht="31.5">
      <c r="A96" s="402"/>
      <c r="B96" s="402"/>
      <c r="C96" s="135" t="str">
        <f>расчет!N99</f>
        <v>Оплата грузовых перевозок по доставке грузов</v>
      </c>
      <c r="D96" s="90" t="s">
        <v>28</v>
      </c>
      <c r="E96" s="109">
        <v>8</v>
      </c>
      <c r="F96" s="87">
        <v>405150</v>
      </c>
      <c r="G96" s="106">
        <v>1</v>
      </c>
      <c r="H96" s="119">
        <f>расчет!S99</f>
        <v>4.2731573077399699E-6</v>
      </c>
    </row>
    <row r="97" spans="1:8" ht="31.5">
      <c r="A97" s="402"/>
      <c r="B97" s="402"/>
      <c r="C97" s="135" t="str">
        <f>расчет!N100</f>
        <v>Спецрейсы (спортивно-массовые мероприятия)</v>
      </c>
      <c r="D97" s="90" t="s">
        <v>28</v>
      </c>
      <c r="E97" s="139"/>
      <c r="F97" s="137"/>
      <c r="G97" s="138"/>
      <c r="H97" s="119">
        <f>расчет!S100</f>
        <v>4.2731573077399699E-6</v>
      </c>
    </row>
    <row r="98" spans="1:8" ht="31.5">
      <c r="A98" s="402"/>
      <c r="B98" s="402"/>
      <c r="C98" s="135" t="str">
        <f>расчет!N101</f>
        <v>Оплата проезда работников в командировку и обратно</v>
      </c>
      <c r="D98" s="90" t="str">
        <f>расчет!O101</f>
        <v>количество работников, чел.</v>
      </c>
      <c r="E98" s="89">
        <v>79</v>
      </c>
      <c r="F98" s="87">
        <v>405150</v>
      </c>
      <c r="G98" s="106">
        <v>1</v>
      </c>
      <c r="H98" s="119">
        <f>расчет!S101</f>
        <v>4.2731573077399699E-6</v>
      </c>
    </row>
    <row r="99" spans="1:8" ht="38.25" customHeight="1">
      <c r="A99" s="402"/>
      <c r="B99" s="402"/>
      <c r="C99" s="405" t="s">
        <v>149</v>
      </c>
      <c r="D99" s="405"/>
      <c r="E99" s="405"/>
      <c r="F99" s="405"/>
      <c r="G99" s="405"/>
      <c r="H99" s="405"/>
    </row>
    <row r="100" spans="1:8" ht="15.75" customHeight="1">
      <c r="A100" s="402"/>
      <c r="B100" s="402"/>
      <c r="C100" s="145" t="str">
        <f>расчет!N104</f>
        <v>Директор</v>
      </c>
      <c r="D100" s="90" t="s">
        <v>29</v>
      </c>
      <c r="E100" s="110">
        <v>1</v>
      </c>
      <c r="F100" s="87">
        <v>405150</v>
      </c>
      <c r="G100" s="106">
        <v>1</v>
      </c>
      <c r="H100" s="119">
        <f>расчет!S104</f>
        <v>4.2731573077399699E-6</v>
      </c>
    </row>
    <row r="101" spans="1:8" ht="31.5">
      <c r="A101" s="402"/>
      <c r="B101" s="402"/>
      <c r="C101" s="145" t="str">
        <f>расчет!N105</f>
        <v>Заместитель директора по учебно  воспитательной работе</v>
      </c>
      <c r="D101" s="90" t="s">
        <v>29</v>
      </c>
      <c r="E101" s="110">
        <v>4</v>
      </c>
      <c r="F101" s="87">
        <v>405150</v>
      </c>
      <c r="G101" s="106">
        <v>1</v>
      </c>
      <c r="H101" s="119">
        <f>расчет!S105</f>
        <v>8.5463146154799399E-6</v>
      </c>
    </row>
    <row r="102" spans="1:8" ht="15.75" customHeight="1">
      <c r="A102" s="402"/>
      <c r="B102" s="402"/>
      <c r="C102" s="145" t="str">
        <f>расчет!N106</f>
        <v>Зам.директора по АХЧ</v>
      </c>
      <c r="D102" s="90" t="s">
        <v>29</v>
      </c>
      <c r="E102" s="110">
        <v>1</v>
      </c>
      <c r="F102" s="87">
        <v>405150</v>
      </c>
      <c r="G102" s="106">
        <v>1</v>
      </c>
      <c r="H102" s="119">
        <f>расчет!S106</f>
        <v>8.5463146154799399E-6</v>
      </c>
    </row>
    <row r="103" spans="1:8" ht="15.75" customHeight="1">
      <c r="A103" s="402"/>
      <c r="B103" s="402"/>
      <c r="C103" s="145" t="str">
        <f>расчет!N107</f>
        <v>Делопроизводитель</v>
      </c>
      <c r="D103" s="90" t="s">
        <v>29</v>
      </c>
      <c r="E103" s="110">
        <v>1</v>
      </c>
      <c r="F103" s="87">
        <v>405150</v>
      </c>
      <c r="G103" s="106">
        <v>1</v>
      </c>
      <c r="H103" s="119">
        <f>расчет!S107</f>
        <v>4.2731573077399699E-6</v>
      </c>
    </row>
    <row r="104" spans="1:8" ht="15.75" customHeight="1">
      <c r="A104" s="402"/>
      <c r="B104" s="402"/>
      <c r="C104" s="145" t="str">
        <f>расчет!N108</f>
        <v>Водитель</v>
      </c>
      <c r="D104" s="90" t="s">
        <v>29</v>
      </c>
      <c r="E104" s="110">
        <v>9</v>
      </c>
      <c r="F104" s="87">
        <v>405150</v>
      </c>
      <c r="G104" s="106">
        <v>1</v>
      </c>
      <c r="H104" s="119">
        <f>расчет!S108</f>
        <v>4.2731573077399699E-6</v>
      </c>
    </row>
    <row r="105" spans="1:8" ht="31.5">
      <c r="A105" s="402"/>
      <c r="B105" s="402"/>
      <c r="C105" s="145" t="str">
        <f>расчет!N109</f>
        <v>Рабочий по обслуживанию и ремонту зданий</v>
      </c>
      <c r="D105" s="90" t="s">
        <v>29</v>
      </c>
      <c r="E105" s="110">
        <v>1</v>
      </c>
      <c r="F105" s="87">
        <v>405150</v>
      </c>
      <c r="G105" s="106">
        <v>1</v>
      </c>
      <c r="H105" s="119">
        <f>расчет!S109</f>
        <v>2.5638943846439818E-5</v>
      </c>
    </row>
    <row r="106" spans="1:8" ht="15.75" customHeight="1">
      <c r="A106" s="402"/>
      <c r="B106" s="402"/>
      <c r="C106" s="145" t="str">
        <f>расчет!N110</f>
        <v>Гардеробщик</v>
      </c>
      <c r="D106" s="90" t="s">
        <v>29</v>
      </c>
      <c r="E106" s="110">
        <v>14</v>
      </c>
      <c r="F106" s="87">
        <v>405150</v>
      </c>
      <c r="G106" s="106">
        <v>1</v>
      </c>
      <c r="H106" s="119">
        <f>расчет!S110</f>
        <v>4.2731573077399699E-6</v>
      </c>
    </row>
    <row r="107" spans="1:8" ht="15.75" customHeight="1">
      <c r="A107" s="402"/>
      <c r="B107" s="402"/>
      <c r="C107" s="145" t="str">
        <f>расчет!N111</f>
        <v>Строж</v>
      </c>
      <c r="D107" s="90" t="s">
        <v>29</v>
      </c>
      <c r="E107" s="110">
        <v>9.5</v>
      </c>
      <c r="F107" s="87">
        <v>405150</v>
      </c>
      <c r="G107" s="106">
        <v>1</v>
      </c>
      <c r="H107" s="119">
        <f>расчет!S111</f>
        <v>6.4097359616099547E-5</v>
      </c>
    </row>
    <row r="108" spans="1:8" ht="15.75" customHeight="1">
      <c r="A108" s="402"/>
      <c r="B108" s="402"/>
      <c r="C108" s="145" t="str">
        <f>расчет!N112</f>
        <v>Дворник</v>
      </c>
      <c r="D108" s="90" t="s">
        <v>29</v>
      </c>
      <c r="E108" s="110">
        <v>8</v>
      </c>
      <c r="F108" s="87">
        <v>405150</v>
      </c>
      <c r="G108" s="106">
        <v>1</v>
      </c>
      <c r="H108" s="119">
        <f>расчет!S112</f>
        <v>2.1365786538699849E-5</v>
      </c>
    </row>
    <row r="109" spans="1:8" ht="15.75" customHeight="1">
      <c r="A109" s="402"/>
      <c r="B109" s="402"/>
      <c r="C109" s="145" t="str">
        <f>расчет!N113</f>
        <v>Уборщик служебных помещений</v>
      </c>
      <c r="D109" s="90" t="s">
        <v>29</v>
      </c>
      <c r="E109" s="140"/>
      <c r="F109" s="141"/>
      <c r="G109" s="142"/>
      <c r="H109" s="119">
        <f>расчет!S113</f>
        <v>3.4185258461919759E-5</v>
      </c>
    </row>
    <row r="110" spans="1:8" ht="21.75" customHeight="1">
      <c r="A110" s="402"/>
      <c r="B110" s="402"/>
      <c r="C110" s="396" t="s">
        <v>150</v>
      </c>
      <c r="D110" s="397"/>
      <c r="E110" s="397"/>
      <c r="F110" s="397"/>
      <c r="G110" s="397"/>
      <c r="H110" s="397"/>
    </row>
    <row r="111" spans="1:8" ht="15.75" customHeight="1">
      <c r="A111" s="402"/>
      <c r="B111" s="402"/>
      <c r="C111" s="146" t="str">
        <f>расчет!N117</f>
        <v>Медикаменты</v>
      </c>
      <c r="D111" s="11" t="s">
        <v>162</v>
      </c>
      <c r="E111" s="89">
        <v>1</v>
      </c>
      <c r="F111" s="87">
        <v>405150</v>
      </c>
      <c r="G111" s="106">
        <v>1</v>
      </c>
      <c r="H111" s="119">
        <f>расчет!S117</f>
        <v>4.2731573077399699E-6</v>
      </c>
    </row>
    <row r="112" spans="1:8" ht="31.5">
      <c r="A112" s="402"/>
      <c r="B112" s="402"/>
      <c r="C112" s="146" t="str">
        <f>расчет!N118</f>
        <v>Демеркуризация отработанных ламп</v>
      </c>
      <c r="D112" s="11" t="s">
        <v>162</v>
      </c>
      <c r="E112" s="89">
        <v>1</v>
      </c>
      <c r="F112" s="87">
        <v>405150</v>
      </c>
      <c r="G112" s="106">
        <v>1</v>
      </c>
      <c r="H112" s="119">
        <f>расчет!S118</f>
        <v>4.2731573077399699E-6</v>
      </c>
    </row>
    <row r="113" spans="1:8" ht="15.75" customHeight="1">
      <c r="A113" s="402"/>
      <c r="B113" s="402"/>
      <c r="C113" s="146" t="str">
        <f>расчет!N119</f>
        <v>Обучение персонала</v>
      </c>
      <c r="D113" s="11" t="s">
        <v>162</v>
      </c>
      <c r="E113" s="89">
        <v>1</v>
      </c>
      <c r="F113" s="87">
        <v>405150</v>
      </c>
      <c r="G113" s="106">
        <v>1</v>
      </c>
      <c r="H113" s="119">
        <f>расчет!S119</f>
        <v>4.2731573077399699E-6</v>
      </c>
    </row>
    <row r="114" spans="1:8" ht="31.5">
      <c r="A114" s="402"/>
      <c r="B114" s="402"/>
      <c r="C114" s="146" t="str">
        <f>расчет!N120</f>
        <v>Продление лицензии программного обеспечения</v>
      </c>
      <c r="D114" s="11" t="s">
        <v>162</v>
      </c>
      <c r="E114" s="89">
        <v>1</v>
      </c>
      <c r="F114" s="87">
        <v>405150</v>
      </c>
      <c r="G114" s="106">
        <v>1</v>
      </c>
      <c r="H114" s="119">
        <f>расчет!S120</f>
        <v>4.2731573077399699E-6</v>
      </c>
    </row>
    <row r="115" spans="1:8" ht="15.75" customHeight="1">
      <c r="A115" s="402"/>
      <c r="B115" s="402"/>
      <c r="C115" s="146" t="str">
        <f>расчет!N121</f>
        <v>Услуги центра СЭС</v>
      </c>
      <c r="D115" s="11" t="s">
        <v>162</v>
      </c>
      <c r="E115" s="89">
        <v>1</v>
      </c>
      <c r="F115" s="87">
        <v>405150</v>
      </c>
      <c r="G115" s="106">
        <v>1</v>
      </c>
      <c r="H115" s="119">
        <f>расчет!S121</f>
        <v>4.2731573077399699E-6</v>
      </c>
    </row>
    <row r="116" spans="1:8" ht="15.75" customHeight="1">
      <c r="A116" s="402"/>
      <c r="B116" s="402"/>
      <c r="C116" s="146" t="str">
        <f>расчет!N122</f>
        <v>Замена технического паспорта</v>
      </c>
      <c r="D116" s="11" t="s">
        <v>162</v>
      </c>
      <c r="E116" s="107">
        <v>1</v>
      </c>
      <c r="F116" s="87">
        <v>405150</v>
      </c>
      <c r="G116" s="106">
        <v>1</v>
      </c>
      <c r="H116" s="119">
        <f>расчет!S122</f>
        <v>4.2731573077399699E-6</v>
      </c>
    </row>
    <row r="117" spans="1:8" ht="15.75" customHeight="1">
      <c r="A117" s="402"/>
      <c r="B117" s="402"/>
      <c r="C117" s="146" t="str">
        <f>расчет!N123</f>
        <v>Налоги, госпошлина</v>
      </c>
      <c r="D117" s="11" t="s">
        <v>162</v>
      </c>
      <c r="E117" s="89">
        <v>1</v>
      </c>
      <c r="F117" s="87">
        <v>405150</v>
      </c>
      <c r="G117" s="106">
        <v>1</v>
      </c>
      <c r="H117" s="119">
        <f>расчет!S123</f>
        <v>4.2731573077399699E-6</v>
      </c>
    </row>
    <row r="118" spans="1:8" ht="31.5">
      <c r="A118" s="402"/>
      <c r="B118" s="402"/>
      <c r="C118" s="146" t="str">
        <f>расчет!N124</f>
        <v>пособие по уходу за ребенком до 3-х лет</v>
      </c>
      <c r="D118" s="11" t="s">
        <v>162</v>
      </c>
      <c r="E118" s="89">
        <v>1</v>
      </c>
      <c r="F118" s="87">
        <v>405150</v>
      </c>
      <c r="G118" s="106">
        <v>1</v>
      </c>
      <c r="H118" s="119">
        <f>расчет!S124</f>
        <v>4.2731573077399699E-6</v>
      </c>
    </row>
    <row r="119" spans="1:8" ht="47.25">
      <c r="A119" s="402"/>
      <c r="B119" s="402"/>
      <c r="C119" s="146" t="str">
        <f>расчет!N125</f>
        <v>Медосмотр административного  и младшего обслуживающего персонала</v>
      </c>
      <c r="D119" s="11" t="s">
        <v>162</v>
      </c>
      <c r="E119" s="111">
        <v>1</v>
      </c>
      <c r="F119" s="87">
        <v>405150</v>
      </c>
      <c r="G119" s="106">
        <v>1</v>
      </c>
      <c r="H119" s="119">
        <f>расчет!S125</f>
        <v>8.5463146154799395E-5</v>
      </c>
    </row>
    <row r="120" spans="1:8" ht="31.5" hidden="1" customHeight="1">
      <c r="A120" s="402"/>
      <c r="B120" s="402"/>
      <c r="C120" s="146" t="str">
        <f>расчет!N126</f>
        <v>Проведение военно-полевых сборов</v>
      </c>
      <c r="D120" s="11" t="s">
        <v>155</v>
      </c>
      <c r="E120" s="111">
        <v>15</v>
      </c>
      <c r="F120" s="87">
        <v>405150</v>
      </c>
      <c r="G120" s="106">
        <v>1</v>
      </c>
      <c r="H120" s="119">
        <f>расчет!S126</f>
        <v>4.2731573077399699E-6</v>
      </c>
    </row>
    <row r="121" spans="1:8" ht="15.75" hidden="1" customHeight="1">
      <c r="A121" s="402"/>
      <c r="B121" s="402"/>
      <c r="C121" s="146" t="str">
        <f>расчет!N127</f>
        <v>Продукты питания</v>
      </c>
      <c r="D121" s="11" t="s">
        <v>162</v>
      </c>
      <c r="E121" s="89">
        <v>1</v>
      </c>
      <c r="F121" s="87">
        <v>405150</v>
      </c>
      <c r="G121" s="106">
        <v>1</v>
      </c>
      <c r="H121" s="119">
        <f>расчет!S127</f>
        <v>4.2731573077399699E-6</v>
      </c>
    </row>
    <row r="122" spans="1:8" ht="31.5">
      <c r="A122" s="402"/>
      <c r="B122" s="402"/>
      <c r="C122" s="146" t="str">
        <f>расчет!N128</f>
        <v>Подписка на периодические издания</v>
      </c>
      <c r="D122" s="11" t="s">
        <v>162</v>
      </c>
      <c r="E122" s="89">
        <v>1</v>
      </c>
      <c r="F122" s="87">
        <v>405150</v>
      </c>
      <c r="G122" s="106">
        <v>1</v>
      </c>
      <c r="H122" s="119">
        <f>расчет!S128</f>
        <v>4.2731573077399699E-6</v>
      </c>
    </row>
    <row r="123" spans="1:8" ht="15.75" customHeight="1">
      <c r="A123" s="402"/>
      <c r="B123" s="402"/>
      <c r="C123" s="146" t="str">
        <f>расчет!N129</f>
        <v>Горючесмазочные вещества</v>
      </c>
      <c r="D123" s="11" t="s">
        <v>162</v>
      </c>
      <c r="E123" s="89">
        <v>1</v>
      </c>
      <c r="F123" s="87">
        <v>405150</v>
      </c>
      <c r="G123" s="106">
        <v>1</v>
      </c>
      <c r="H123" s="119">
        <f>расчет!S129</f>
        <v>4.2731573077399699E-6</v>
      </c>
    </row>
    <row r="124" spans="1:8" ht="31.5">
      <c r="A124" s="402"/>
      <c r="B124" s="402"/>
      <c r="C124" s="146" t="str">
        <f>расчет!N130</f>
        <v>Канцелярия , запасные части к оргтехнике, автотранспорту</v>
      </c>
      <c r="D124" s="11" t="s">
        <v>162</v>
      </c>
      <c r="E124" s="89">
        <v>1</v>
      </c>
      <c r="F124" s="87">
        <v>405150</v>
      </c>
      <c r="G124" s="106">
        <v>1</v>
      </c>
      <c r="H124" s="119">
        <f>расчет!S130</f>
        <v>4.2731573077399699E-6</v>
      </c>
    </row>
    <row r="125" spans="1:8" ht="31.5">
      <c r="A125" s="402"/>
      <c r="B125" s="402"/>
      <c r="C125" s="146" t="str">
        <f>расчет!N131</f>
        <v>Мягкий инвентарь (подушки , постельное )</v>
      </c>
      <c r="D125" s="11" t="s">
        <v>162</v>
      </c>
      <c r="E125" s="89">
        <v>1</v>
      </c>
      <c r="F125" s="87">
        <v>405150</v>
      </c>
      <c r="G125" s="106">
        <v>1</v>
      </c>
      <c r="H125" s="119">
        <f>расчет!S131</f>
        <v>4.2731573077399699E-6</v>
      </c>
    </row>
    <row r="126" spans="1:8" ht="15.75" customHeight="1">
      <c r="A126" s="402"/>
      <c r="B126" s="402"/>
      <c r="C126" s="146" t="str">
        <f>расчет!N133</f>
        <v>Средства индивидуальной защиты</v>
      </c>
      <c r="D126" s="11" t="s">
        <v>162</v>
      </c>
      <c r="E126" s="89">
        <v>1</v>
      </c>
      <c r="F126" s="87">
        <v>405150</v>
      </c>
      <c r="G126" s="106">
        <v>1</v>
      </c>
      <c r="H126" s="119">
        <f>расчет!S133</f>
        <v>4.2731573077399699E-6</v>
      </c>
    </row>
    <row r="127" spans="1:8">
      <c r="A127" s="402"/>
      <c r="B127" s="402"/>
      <c r="C127" s="146" t="str">
        <f>расчет!N134</f>
        <v>Услуги СЕМИС</v>
      </c>
      <c r="D127" s="11" t="s">
        <v>162</v>
      </c>
      <c r="H127" s="119">
        <f>расчет!S134</f>
        <v>4.2731573077399699E-6</v>
      </c>
    </row>
    <row r="128" spans="1:8" ht="31.5">
      <c r="A128" s="402"/>
      <c r="B128" s="402"/>
      <c r="C128" s="146" t="str">
        <f>расчет!N135</f>
        <v>Экспертиза огнезащитной обработки</v>
      </c>
      <c r="D128" s="11" t="s">
        <v>162</v>
      </c>
      <c r="H128" s="119">
        <f>расчет!S135</f>
        <v>4.2731573077399699E-6</v>
      </c>
    </row>
    <row r="129" spans="1:8" ht="35.25" customHeight="1">
      <c r="A129" s="402"/>
      <c r="B129" s="402"/>
      <c r="C129" s="146" t="str">
        <f>расчет!N136</f>
        <v>Проведения испытаний устройств заземления и изоляции электросетей</v>
      </c>
      <c r="D129" s="11" t="s">
        <v>162</v>
      </c>
      <c r="H129" s="119">
        <f>расчет!S136</f>
        <v>4.2731573077399699E-6</v>
      </c>
    </row>
    <row r="130" spans="1:8" ht="31.5">
      <c r="A130" s="402"/>
      <c r="B130" s="402"/>
      <c r="C130" s="146" t="str">
        <f>расчет!N137</f>
        <v xml:space="preserve">Обслуживание системы наружного видеонаблюдения </v>
      </c>
      <c r="D130" s="11" t="s">
        <v>162</v>
      </c>
      <c r="H130" s="119">
        <f>расчет!S137</f>
        <v>4.2731573077399699E-6</v>
      </c>
    </row>
    <row r="131" spans="1:8">
      <c r="A131" s="402"/>
      <c r="B131" s="402"/>
      <c r="C131" s="146" t="str">
        <f>расчет!N138</f>
        <v>Испытания диэлектрических бот</v>
      </c>
      <c r="D131" s="11" t="s">
        <v>162</v>
      </c>
      <c r="H131" s="119">
        <f>расчет!S138</f>
        <v>4.2731573077399699E-6</v>
      </c>
    </row>
    <row r="132" spans="1:8" ht="31.5">
      <c r="A132" s="403"/>
      <c r="B132" s="403"/>
      <c r="C132" s="146" t="str">
        <f>расчет!N141</f>
        <v>Хоз.товары (дезинфицирующие, моющие средства)</v>
      </c>
      <c r="D132" s="11" t="s">
        <v>162</v>
      </c>
      <c r="H132" s="119">
        <f>расчет!S141</f>
        <v>4.2731573077399699E-6</v>
      </c>
    </row>
  </sheetData>
  <mergeCells count="55">
    <mergeCell ref="D33:E33"/>
    <mergeCell ref="D34:E34"/>
    <mergeCell ref="D35:E35"/>
    <mergeCell ref="D36:E36"/>
    <mergeCell ref="D37:E37"/>
    <mergeCell ref="D13:E13"/>
    <mergeCell ref="D5:E5"/>
    <mergeCell ref="D6:E6"/>
    <mergeCell ref="D9:E9"/>
    <mergeCell ref="D10:E10"/>
    <mergeCell ref="D11:E11"/>
    <mergeCell ref="D1:H1"/>
    <mergeCell ref="A3:H3"/>
    <mergeCell ref="C7:H7"/>
    <mergeCell ref="C8:H8"/>
    <mergeCell ref="D12:E12"/>
    <mergeCell ref="B7:B132"/>
    <mergeCell ref="A7:A132"/>
    <mergeCell ref="C64:H64"/>
    <mergeCell ref="C95:H95"/>
    <mergeCell ref="C99:H99"/>
    <mergeCell ref="C110:H110"/>
    <mergeCell ref="C71:H71"/>
    <mergeCell ref="C19:H19"/>
    <mergeCell ref="D42:E42"/>
    <mergeCell ref="D43:E43"/>
    <mergeCell ref="D32:E32"/>
    <mergeCell ref="C65:H65"/>
    <mergeCell ref="C84:H84"/>
    <mergeCell ref="C89:H89"/>
    <mergeCell ref="D44:E44"/>
    <mergeCell ref="D45:E45"/>
    <mergeCell ref="D38:E38"/>
    <mergeCell ref="D39:E39"/>
    <mergeCell ref="D40:E40"/>
    <mergeCell ref="D41:E41"/>
    <mergeCell ref="D52:E52"/>
    <mergeCell ref="D47:E47"/>
    <mergeCell ref="D48:E48"/>
    <mergeCell ref="D49:E49"/>
    <mergeCell ref="D50:E50"/>
    <mergeCell ref="D51:E51"/>
    <mergeCell ref="C46:H46"/>
    <mergeCell ref="D29:E29"/>
    <mergeCell ref="D30:E30"/>
    <mergeCell ref="D31:E31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</mergeCells>
  <pageMargins left="0.70866141732283472" right="0.70866141732283472" top="0.74803149606299213" bottom="0.74803149606299213" header="0.31496062992125984" footer="0.31496062992125984"/>
  <pageSetup paperSize="9" scale="64" fitToHeight="3" orientation="portrait" blackAndWhite="1" r:id="rId1"/>
  <rowBreaks count="1" manualBreakCount="1">
    <brk id="8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6"/>
  <sheetViews>
    <sheetView view="pageBreakPreview" zoomScale="70" zoomScaleNormal="80" zoomScaleSheetLayoutView="70" zoomScalePageLayoutView="85" workbookViewId="0">
      <pane ySplit="5" topLeftCell="A27" activePane="bottomLeft" state="frozen"/>
      <selection pane="bottomLeft" activeCell="K84" sqref="K84:K87"/>
    </sheetView>
  </sheetViews>
  <sheetFormatPr defaultColWidth="8.85546875" defaultRowHeight="15" outlineLevelRow="2"/>
  <cols>
    <col min="1" max="1" width="5.7109375" style="14" bestFit="1" customWidth="1"/>
    <col min="2" max="2" width="31.7109375" style="14" customWidth="1"/>
    <col min="3" max="4" width="11.5703125" style="14" customWidth="1"/>
    <col min="5" max="5" width="14" style="14" customWidth="1"/>
    <col min="6" max="6" width="14.85546875" style="55" customWidth="1"/>
    <col min="7" max="7" width="16" style="14" customWidth="1"/>
    <col min="8" max="8" width="13.85546875" style="14" customWidth="1"/>
    <col min="9" max="9" width="12.140625" style="14" customWidth="1"/>
    <col min="10" max="10" width="19.5703125" style="14" bestFit="1" customWidth="1"/>
    <col min="11" max="11" width="35.140625" style="14" customWidth="1"/>
    <col min="12" max="12" width="16.42578125" style="14" bestFit="1" customWidth="1"/>
    <col min="13" max="13" width="18.28515625" style="14" customWidth="1"/>
    <col min="14" max="14" width="13" style="14" customWidth="1"/>
    <col min="15" max="15" width="12.7109375" style="14" customWidth="1"/>
    <col min="16" max="16" width="19.7109375" style="14" customWidth="1"/>
    <col min="17" max="16384" width="8.85546875" style="14"/>
  </cols>
  <sheetData>
    <row r="1" spans="1:17" s="85" customFormat="1" ht="44.25" customHeight="1">
      <c r="B1" s="442" t="s">
        <v>169</v>
      </c>
      <c r="C1" s="442"/>
      <c r="D1" s="442"/>
      <c r="E1" s="442"/>
      <c r="F1" s="442"/>
      <c r="G1" s="442"/>
      <c r="H1" s="442"/>
      <c r="I1" s="442"/>
      <c r="J1" s="442"/>
      <c r="K1" s="442"/>
    </row>
    <row r="2" spans="1:17" s="85" customFormat="1" ht="19.5" customHeight="1">
      <c r="B2" s="85" t="s">
        <v>170</v>
      </c>
    </row>
    <row r="3" spans="1:17" s="85" customFormat="1" ht="19.5" customHeight="1">
      <c r="B3" s="85" t="s">
        <v>171</v>
      </c>
    </row>
    <row r="4" spans="1:17" s="85" customFormat="1"/>
    <row r="5" spans="1:17" ht="90" customHeight="1">
      <c r="A5" s="31" t="s">
        <v>1</v>
      </c>
      <c r="B5" s="31" t="s">
        <v>4</v>
      </c>
      <c r="C5" s="414" t="s">
        <v>95</v>
      </c>
      <c r="D5" s="415"/>
      <c r="E5" s="31" t="s">
        <v>52</v>
      </c>
      <c r="F5" s="31" t="s">
        <v>2</v>
      </c>
      <c r="G5" s="31" t="s">
        <v>72</v>
      </c>
      <c r="H5" s="31"/>
      <c r="I5" s="31" t="s">
        <v>94</v>
      </c>
      <c r="J5" s="31" t="s">
        <v>5</v>
      </c>
      <c r="K5" s="31" t="s">
        <v>0</v>
      </c>
    </row>
    <row r="6" spans="1:17">
      <c r="A6" s="31">
        <v>1</v>
      </c>
      <c r="B6" s="31">
        <v>2</v>
      </c>
      <c r="C6" s="414"/>
      <c r="D6" s="415"/>
      <c r="E6" s="31">
        <v>3</v>
      </c>
      <c r="F6" s="31">
        <v>4</v>
      </c>
      <c r="G6" s="31" t="s">
        <v>71</v>
      </c>
      <c r="H6" s="31"/>
      <c r="I6" s="31">
        <v>6</v>
      </c>
      <c r="J6" s="31" t="s">
        <v>51</v>
      </c>
      <c r="K6" s="31">
        <v>8</v>
      </c>
    </row>
    <row r="7" spans="1:17">
      <c r="A7" s="416" t="s">
        <v>7</v>
      </c>
      <c r="B7" s="412"/>
      <c r="C7" s="412"/>
      <c r="D7" s="412"/>
      <c r="E7" s="412"/>
      <c r="F7" s="412"/>
      <c r="G7" s="412"/>
      <c r="H7" s="412"/>
      <c r="I7" s="412"/>
      <c r="J7" s="412"/>
      <c r="K7" s="413"/>
    </row>
    <row r="8" spans="1:17" ht="61.5" customHeight="1" outlineLevel="1">
      <c r="A8" s="27">
        <v>1</v>
      </c>
      <c r="B8" s="17" t="s">
        <v>70</v>
      </c>
      <c r="C8" s="410">
        <v>2</v>
      </c>
      <c r="D8" s="411"/>
      <c r="E8" s="8">
        <f>C8*40</f>
        <v>80</v>
      </c>
      <c r="F8" s="8">
        <v>600</v>
      </c>
      <c r="G8" s="68">
        <f>E8</f>
        <v>80</v>
      </c>
      <c r="H8" s="84"/>
      <c r="I8" s="33">
        <f>8893873.2*1.302/23.78/1776.4/12</f>
        <v>22.843784620107495</v>
      </c>
      <c r="J8" s="34">
        <f>ROUND(G8*I8,0)</f>
        <v>1828</v>
      </c>
      <c r="K8" s="60" t="s">
        <v>157</v>
      </c>
      <c r="L8" s="69">
        <f>J8*F8</f>
        <v>1096800</v>
      </c>
      <c r="M8" s="70">
        <f>J8*4</f>
        <v>7312</v>
      </c>
    </row>
    <row r="9" spans="1:17" ht="43.5" customHeight="1" outlineLevel="1">
      <c r="A9" s="27">
        <v>2</v>
      </c>
      <c r="B9" s="17" t="s">
        <v>92</v>
      </c>
      <c r="C9" s="410">
        <v>2</v>
      </c>
      <c r="D9" s="411"/>
      <c r="E9" s="8">
        <v>160</v>
      </c>
      <c r="F9" s="8">
        <f>F8</f>
        <v>600</v>
      </c>
      <c r="G9" s="68">
        <f>E9</f>
        <v>160</v>
      </c>
      <c r="H9" s="84"/>
      <c r="I9" s="33">
        <f>868000*1.302/1776.4/2</f>
        <v>318.097275388426</v>
      </c>
      <c r="J9" s="34">
        <f>ROUND(G9*I9,0)</f>
        <v>50896</v>
      </c>
      <c r="K9" s="60" t="s">
        <v>158</v>
      </c>
      <c r="L9" s="69">
        <f>J9*F9</f>
        <v>30537600</v>
      </c>
      <c r="M9" s="70">
        <f>J9*4</f>
        <v>203584</v>
      </c>
    </row>
    <row r="10" spans="1:17" ht="15" hidden="1" customHeight="1" outlineLevel="1">
      <c r="A10" s="27"/>
      <c r="B10" s="17"/>
      <c r="C10" s="410"/>
      <c r="D10" s="411"/>
      <c r="E10" s="8">
        <f>C10*1776.4</f>
        <v>0</v>
      </c>
      <c r="F10" s="8">
        <f>F8</f>
        <v>600</v>
      </c>
      <c r="G10" s="68">
        <f t="shared" ref="G10:G11" si="0">E10/F10</f>
        <v>0</v>
      </c>
      <c r="H10" s="38"/>
      <c r="I10" s="33"/>
      <c r="J10" s="34">
        <f t="shared" ref="J10:J13" si="1">IFERROR(G10*I10,0)</f>
        <v>0</v>
      </c>
      <c r="K10" s="60"/>
    </row>
    <row r="11" spans="1:17" ht="15" hidden="1" customHeight="1" outlineLevel="1">
      <c r="A11" s="27"/>
      <c r="B11" s="17"/>
      <c r="C11" s="410"/>
      <c r="D11" s="411"/>
      <c r="E11" s="8">
        <f>C11*1776.4</f>
        <v>0</v>
      </c>
      <c r="F11" s="8">
        <f>F8</f>
        <v>600</v>
      </c>
      <c r="G11" s="68">
        <f t="shared" si="0"/>
        <v>0</v>
      </c>
      <c r="H11" s="38"/>
      <c r="I11" s="33"/>
      <c r="J11" s="34">
        <f t="shared" si="1"/>
        <v>0</v>
      </c>
      <c r="K11" s="60"/>
    </row>
    <row r="12" spans="1:17" ht="15" hidden="1" customHeight="1" outlineLevel="1">
      <c r="A12" s="27">
        <v>6</v>
      </c>
      <c r="B12" s="32"/>
      <c r="C12" s="78"/>
      <c r="D12" s="32"/>
      <c r="E12" s="8"/>
      <c r="F12" s="8"/>
      <c r="G12" s="68"/>
      <c r="H12" s="38"/>
      <c r="I12" s="33"/>
      <c r="J12" s="34">
        <f t="shared" si="1"/>
        <v>0</v>
      </c>
      <c r="K12" s="60"/>
    </row>
    <row r="13" spans="1:17" ht="15" hidden="1" customHeight="1" outlineLevel="1">
      <c r="A13" s="27">
        <v>7</v>
      </c>
      <c r="B13" s="17"/>
      <c r="C13" s="77"/>
      <c r="D13" s="17"/>
      <c r="E13" s="8"/>
      <c r="F13" s="8"/>
      <c r="G13" s="68" t="e">
        <f t="shared" ref="G13" si="2">E13/F13</f>
        <v>#DIV/0!</v>
      </c>
      <c r="H13" s="38"/>
      <c r="I13" s="33"/>
      <c r="J13" s="34">
        <f t="shared" si="1"/>
        <v>0</v>
      </c>
      <c r="K13" s="60"/>
    </row>
    <row r="14" spans="1:17" ht="18" hidden="1" customHeight="1" outlineLevel="1">
      <c r="A14" s="27"/>
      <c r="B14" s="17"/>
      <c r="C14" s="77"/>
      <c r="D14" s="17"/>
      <c r="E14" s="9"/>
      <c r="F14" s="8"/>
      <c r="G14" s="15"/>
      <c r="H14" s="38"/>
      <c r="I14" s="33"/>
      <c r="J14" s="34"/>
      <c r="K14" s="60"/>
    </row>
    <row r="15" spans="1:17" outlineLevel="1">
      <c r="A15" s="417" t="s">
        <v>40</v>
      </c>
      <c r="B15" s="418"/>
      <c r="C15" s="418"/>
      <c r="D15" s="418"/>
      <c r="E15" s="418"/>
      <c r="F15" s="418"/>
      <c r="G15" s="418"/>
      <c r="H15" s="418"/>
      <c r="I15" s="419"/>
      <c r="J15" s="35">
        <f>SUM(J8:J14)</f>
        <v>52724</v>
      </c>
      <c r="K15" s="61"/>
      <c r="L15" s="14">
        <f>J15*4</f>
        <v>210896</v>
      </c>
    </row>
    <row r="16" spans="1:17" s="44" customFormat="1" outlineLevel="1">
      <c r="A16" s="45"/>
      <c r="B16" s="45"/>
      <c r="C16" s="45"/>
      <c r="D16" s="45"/>
      <c r="E16" s="45"/>
      <c r="F16" s="53"/>
      <c r="G16" s="45"/>
      <c r="H16" s="45"/>
      <c r="I16" s="45"/>
      <c r="J16" s="46"/>
      <c r="K16" s="47"/>
      <c r="N16" s="14"/>
      <c r="O16" s="14"/>
      <c r="P16" s="14"/>
      <c r="Q16" s="14"/>
    </row>
    <row r="17" spans="1:11" s="37" customFormat="1" ht="68.25" customHeight="1">
      <c r="A17" s="36" t="s">
        <v>1</v>
      </c>
      <c r="B17" s="36" t="s">
        <v>3</v>
      </c>
      <c r="C17" s="420" t="s">
        <v>163</v>
      </c>
      <c r="D17" s="421"/>
      <c r="E17" s="36" t="s">
        <v>56</v>
      </c>
      <c r="F17" s="36" t="s">
        <v>2</v>
      </c>
      <c r="G17" s="31" t="s">
        <v>53</v>
      </c>
      <c r="H17" s="31" t="s">
        <v>67</v>
      </c>
      <c r="I17" s="31" t="s">
        <v>68</v>
      </c>
      <c r="J17" s="31" t="s">
        <v>5</v>
      </c>
      <c r="K17" s="31" t="s">
        <v>0</v>
      </c>
    </row>
    <row r="18" spans="1:11">
      <c r="A18" s="31">
        <v>1</v>
      </c>
      <c r="B18" s="31">
        <v>2</v>
      </c>
      <c r="C18" s="414"/>
      <c r="D18" s="415"/>
      <c r="E18" s="31">
        <v>3</v>
      </c>
      <c r="F18" s="31">
        <v>4</v>
      </c>
      <c r="G18" s="31" t="s">
        <v>71</v>
      </c>
      <c r="H18" s="31">
        <v>6</v>
      </c>
      <c r="I18" s="31">
        <v>7</v>
      </c>
      <c r="J18" s="31" t="s">
        <v>54</v>
      </c>
      <c r="K18" s="31">
        <v>9</v>
      </c>
    </row>
    <row r="19" spans="1:11">
      <c r="A19" s="412" t="s">
        <v>6</v>
      </c>
      <c r="B19" s="412"/>
      <c r="C19" s="412"/>
      <c r="D19" s="412"/>
      <c r="E19" s="412"/>
      <c r="F19" s="412"/>
      <c r="G19" s="412"/>
      <c r="H19" s="412"/>
      <c r="I19" s="412"/>
      <c r="J19" s="412"/>
      <c r="K19" s="413"/>
    </row>
    <row r="20" spans="1:11" ht="17.25" customHeight="1" outlineLevel="2">
      <c r="A20" s="27">
        <v>2</v>
      </c>
      <c r="B20" s="17" t="s">
        <v>74</v>
      </c>
      <c r="C20" s="410" t="s">
        <v>153</v>
      </c>
      <c r="D20" s="411"/>
      <c r="E20" s="48">
        <v>2</v>
      </c>
      <c r="F20" s="8">
        <f>F8</f>
        <v>600</v>
      </c>
      <c r="G20" s="72">
        <f>E20</f>
        <v>2</v>
      </c>
      <c r="H20" s="16">
        <v>1</v>
      </c>
      <c r="I20" s="33">
        <v>200</v>
      </c>
      <c r="J20" s="68">
        <f>ROUND(G20*I20/H20,0)</f>
        <v>400</v>
      </c>
      <c r="K20" s="425" t="s">
        <v>168</v>
      </c>
    </row>
    <row r="21" spans="1:11" outlineLevel="2">
      <c r="A21" s="27">
        <v>4</v>
      </c>
      <c r="B21" s="17" t="s">
        <v>76</v>
      </c>
      <c r="C21" s="410" t="s">
        <v>153</v>
      </c>
      <c r="D21" s="411"/>
      <c r="E21" s="48">
        <v>1</v>
      </c>
      <c r="F21" s="8">
        <f>F8</f>
        <v>600</v>
      </c>
      <c r="G21" s="72">
        <f t="shared" ref="G21:G37" si="3">E21</f>
        <v>1</v>
      </c>
      <c r="H21" s="16">
        <v>1</v>
      </c>
      <c r="I21" s="33">
        <v>50</v>
      </c>
      <c r="J21" s="68">
        <f t="shared" ref="J21:J37" si="4">ROUND(G21*I21/H21,0)</f>
        <v>50</v>
      </c>
      <c r="K21" s="426"/>
    </row>
    <row r="22" spans="1:11" outlineLevel="2">
      <c r="A22" s="27">
        <v>5</v>
      </c>
      <c r="B22" s="17" t="s">
        <v>77</v>
      </c>
      <c r="C22" s="410" t="s">
        <v>153</v>
      </c>
      <c r="D22" s="411"/>
      <c r="E22" s="48">
        <v>1</v>
      </c>
      <c r="F22" s="8">
        <f>F8</f>
        <v>600</v>
      </c>
      <c r="G22" s="72">
        <f t="shared" si="3"/>
        <v>1</v>
      </c>
      <c r="H22" s="16">
        <v>1</v>
      </c>
      <c r="I22" s="33">
        <v>80</v>
      </c>
      <c r="J22" s="68">
        <f t="shared" si="4"/>
        <v>80</v>
      </c>
      <c r="K22" s="426"/>
    </row>
    <row r="23" spans="1:11" outlineLevel="2">
      <c r="A23" s="27">
        <v>7</v>
      </c>
      <c r="B23" s="17" t="s">
        <v>119</v>
      </c>
      <c r="C23" s="410" t="s">
        <v>153</v>
      </c>
      <c r="D23" s="411"/>
      <c r="E23" s="48">
        <v>2</v>
      </c>
      <c r="F23" s="8">
        <f>F8</f>
        <v>600</v>
      </c>
      <c r="G23" s="72">
        <f t="shared" si="3"/>
        <v>2</v>
      </c>
      <c r="H23" s="16">
        <v>1</v>
      </c>
      <c r="I23" s="33">
        <v>15</v>
      </c>
      <c r="J23" s="68">
        <f t="shared" si="4"/>
        <v>30</v>
      </c>
      <c r="K23" s="426"/>
    </row>
    <row r="24" spans="1:11" outlineLevel="2">
      <c r="A24" s="27">
        <v>8</v>
      </c>
      <c r="B24" s="17" t="s">
        <v>79</v>
      </c>
      <c r="C24" s="410" t="s">
        <v>153</v>
      </c>
      <c r="D24" s="411"/>
      <c r="E24" s="48">
        <v>4</v>
      </c>
      <c r="F24" s="8">
        <f>F8</f>
        <v>600</v>
      </c>
      <c r="G24" s="72">
        <f t="shared" si="3"/>
        <v>4</v>
      </c>
      <c r="H24" s="16">
        <v>1</v>
      </c>
      <c r="I24" s="33">
        <v>60</v>
      </c>
      <c r="J24" s="68">
        <f t="shared" si="4"/>
        <v>240</v>
      </c>
      <c r="K24" s="426"/>
    </row>
    <row r="25" spans="1:11" outlineLevel="2">
      <c r="A25" s="27">
        <v>9</v>
      </c>
      <c r="B25" s="17" t="s">
        <v>82</v>
      </c>
      <c r="C25" s="410" t="s">
        <v>153</v>
      </c>
      <c r="D25" s="411"/>
      <c r="E25" s="48">
        <v>4</v>
      </c>
      <c r="F25" s="8">
        <f>F8</f>
        <v>600</v>
      </c>
      <c r="G25" s="72">
        <f t="shared" si="3"/>
        <v>4</v>
      </c>
      <c r="H25" s="16">
        <v>1</v>
      </c>
      <c r="I25" s="33">
        <v>100</v>
      </c>
      <c r="J25" s="68">
        <f t="shared" si="4"/>
        <v>400</v>
      </c>
      <c r="K25" s="426"/>
    </row>
    <row r="26" spans="1:11" outlineLevel="2">
      <c r="A26" s="27">
        <v>10</v>
      </c>
      <c r="B26" s="17" t="s">
        <v>80</v>
      </c>
      <c r="C26" s="410" t="s">
        <v>153</v>
      </c>
      <c r="D26" s="411"/>
      <c r="E26" s="48">
        <v>1</v>
      </c>
      <c r="F26" s="8">
        <f>F8</f>
        <v>600</v>
      </c>
      <c r="G26" s="72">
        <f t="shared" si="3"/>
        <v>1</v>
      </c>
      <c r="H26" s="16">
        <v>1</v>
      </c>
      <c r="I26" s="33">
        <v>106</v>
      </c>
      <c r="J26" s="68">
        <f t="shared" si="4"/>
        <v>106</v>
      </c>
      <c r="K26" s="426"/>
    </row>
    <row r="27" spans="1:11" outlineLevel="2">
      <c r="A27" s="27">
        <v>11</v>
      </c>
      <c r="B27" s="17" t="s">
        <v>81</v>
      </c>
      <c r="C27" s="410" t="s">
        <v>153</v>
      </c>
      <c r="D27" s="411"/>
      <c r="E27" s="48">
        <v>1</v>
      </c>
      <c r="F27" s="8">
        <f>F8</f>
        <v>600</v>
      </c>
      <c r="G27" s="72">
        <f t="shared" si="3"/>
        <v>1</v>
      </c>
      <c r="H27" s="16">
        <v>1</v>
      </c>
      <c r="I27" s="33">
        <v>90</v>
      </c>
      <c r="J27" s="68">
        <f t="shared" si="4"/>
        <v>90</v>
      </c>
      <c r="K27" s="426"/>
    </row>
    <row r="28" spans="1:11" outlineLevel="2">
      <c r="A28" s="27">
        <v>12</v>
      </c>
      <c r="B28" s="17" t="s">
        <v>120</v>
      </c>
      <c r="C28" s="410" t="s">
        <v>153</v>
      </c>
      <c r="D28" s="411"/>
      <c r="E28" s="48">
        <v>4</v>
      </c>
      <c r="F28" s="8">
        <f>F8</f>
        <v>600</v>
      </c>
      <c r="G28" s="72">
        <f t="shared" si="3"/>
        <v>4</v>
      </c>
      <c r="H28" s="16">
        <v>1</v>
      </c>
      <c r="I28" s="33">
        <v>20</v>
      </c>
      <c r="J28" s="68">
        <f t="shared" si="4"/>
        <v>80</v>
      </c>
      <c r="K28" s="426"/>
    </row>
    <row r="29" spans="1:11" outlineLevel="2">
      <c r="A29" s="27">
        <v>13</v>
      </c>
      <c r="B29" s="17" t="s">
        <v>96</v>
      </c>
      <c r="C29" s="410" t="s">
        <v>153</v>
      </c>
      <c r="D29" s="411"/>
      <c r="E29" s="48">
        <v>4</v>
      </c>
      <c r="F29" s="8">
        <f>F8</f>
        <v>600</v>
      </c>
      <c r="G29" s="72">
        <f t="shared" si="3"/>
        <v>4</v>
      </c>
      <c r="H29" s="16">
        <v>1</v>
      </c>
      <c r="I29" s="33">
        <v>200</v>
      </c>
      <c r="J29" s="68">
        <f t="shared" si="4"/>
        <v>800</v>
      </c>
      <c r="K29" s="426"/>
    </row>
    <row r="30" spans="1:11" outlineLevel="2">
      <c r="A30" s="27">
        <v>14</v>
      </c>
      <c r="B30" s="17" t="s">
        <v>83</v>
      </c>
      <c r="C30" s="410" t="s">
        <v>153</v>
      </c>
      <c r="D30" s="411"/>
      <c r="E30" s="48">
        <v>1</v>
      </c>
      <c r="F30" s="8">
        <f>F8</f>
        <v>600</v>
      </c>
      <c r="G30" s="72">
        <f t="shared" si="3"/>
        <v>1</v>
      </c>
      <c r="H30" s="16">
        <v>1</v>
      </c>
      <c r="I30" s="33">
        <v>60</v>
      </c>
      <c r="J30" s="68">
        <f t="shared" si="4"/>
        <v>60</v>
      </c>
      <c r="K30" s="426"/>
    </row>
    <row r="31" spans="1:11" outlineLevel="2">
      <c r="A31" s="27">
        <v>15</v>
      </c>
      <c r="B31" s="17" t="s">
        <v>121</v>
      </c>
      <c r="C31" s="410" t="s">
        <v>153</v>
      </c>
      <c r="D31" s="411"/>
      <c r="E31" s="48">
        <v>1</v>
      </c>
      <c r="F31" s="8">
        <f>F8</f>
        <v>600</v>
      </c>
      <c r="G31" s="72">
        <f t="shared" si="3"/>
        <v>1</v>
      </c>
      <c r="H31" s="16">
        <v>1</v>
      </c>
      <c r="I31" s="33">
        <v>80</v>
      </c>
      <c r="J31" s="68">
        <f t="shared" si="4"/>
        <v>80</v>
      </c>
      <c r="K31" s="426"/>
    </row>
    <row r="32" spans="1:11" outlineLevel="2">
      <c r="A32" s="27">
        <v>16</v>
      </c>
      <c r="B32" s="17" t="s">
        <v>84</v>
      </c>
      <c r="C32" s="410" t="s">
        <v>153</v>
      </c>
      <c r="D32" s="411"/>
      <c r="E32" s="63">
        <v>1</v>
      </c>
      <c r="F32" s="8">
        <f>F8</f>
        <v>600</v>
      </c>
      <c r="G32" s="72">
        <f t="shared" si="3"/>
        <v>1</v>
      </c>
      <c r="H32" s="16">
        <v>1</v>
      </c>
      <c r="I32" s="33">
        <v>2000</v>
      </c>
      <c r="J32" s="68">
        <f t="shared" si="4"/>
        <v>2000</v>
      </c>
      <c r="K32" s="426"/>
    </row>
    <row r="33" spans="1:11" outlineLevel="2">
      <c r="A33" s="27">
        <v>17</v>
      </c>
      <c r="B33" s="17" t="s">
        <v>85</v>
      </c>
      <c r="C33" s="410" t="s">
        <v>153</v>
      </c>
      <c r="D33" s="411"/>
      <c r="E33" s="49">
        <v>1</v>
      </c>
      <c r="F33" s="8">
        <f>F8</f>
        <v>600</v>
      </c>
      <c r="G33" s="72">
        <f t="shared" si="3"/>
        <v>1</v>
      </c>
      <c r="H33" s="16">
        <v>1</v>
      </c>
      <c r="I33" s="33">
        <v>200</v>
      </c>
      <c r="J33" s="68">
        <f t="shared" si="4"/>
        <v>200</v>
      </c>
      <c r="K33" s="426"/>
    </row>
    <row r="34" spans="1:11" outlineLevel="2">
      <c r="A34" s="27">
        <v>18</v>
      </c>
      <c r="B34" s="17" t="s">
        <v>97</v>
      </c>
      <c r="C34" s="410" t="s">
        <v>153</v>
      </c>
      <c r="D34" s="411"/>
      <c r="E34" s="49">
        <v>1</v>
      </c>
      <c r="F34" s="8">
        <f>F8</f>
        <v>600</v>
      </c>
      <c r="G34" s="72">
        <f t="shared" si="3"/>
        <v>1</v>
      </c>
      <c r="H34" s="16">
        <v>1</v>
      </c>
      <c r="I34" s="33">
        <v>600</v>
      </c>
      <c r="J34" s="68">
        <f t="shared" si="4"/>
        <v>600</v>
      </c>
      <c r="K34" s="426"/>
    </row>
    <row r="35" spans="1:11" ht="15" hidden="1" customHeight="1" outlineLevel="2">
      <c r="A35" s="27">
        <v>24</v>
      </c>
      <c r="B35" s="17"/>
      <c r="C35" s="410"/>
      <c r="D35" s="411"/>
      <c r="E35" s="50"/>
      <c r="F35" s="8">
        <f>F8</f>
        <v>600</v>
      </c>
      <c r="G35" s="72">
        <f t="shared" si="3"/>
        <v>0</v>
      </c>
      <c r="H35" s="16"/>
      <c r="I35" s="33"/>
      <c r="J35" s="68" t="e">
        <f t="shared" si="4"/>
        <v>#DIV/0!</v>
      </c>
      <c r="K35" s="426"/>
    </row>
    <row r="36" spans="1:11" ht="15" hidden="1" customHeight="1" outlineLevel="2">
      <c r="A36" s="27">
        <v>25</v>
      </c>
      <c r="B36" s="17"/>
      <c r="C36" s="410"/>
      <c r="D36" s="411"/>
      <c r="E36" s="50"/>
      <c r="F36" s="8">
        <f>F8</f>
        <v>600</v>
      </c>
      <c r="G36" s="72">
        <f t="shared" si="3"/>
        <v>0</v>
      </c>
      <c r="H36" s="16"/>
      <c r="I36" s="33"/>
      <c r="J36" s="68" t="e">
        <f t="shared" si="4"/>
        <v>#DIV/0!</v>
      </c>
      <c r="K36" s="426"/>
    </row>
    <row r="37" spans="1:11" ht="15" hidden="1" customHeight="1" outlineLevel="2">
      <c r="A37" s="27">
        <v>26</v>
      </c>
      <c r="B37" s="17"/>
      <c r="C37" s="410"/>
      <c r="D37" s="411"/>
      <c r="E37" s="50"/>
      <c r="F37" s="8">
        <f>F8</f>
        <v>600</v>
      </c>
      <c r="G37" s="72">
        <f t="shared" si="3"/>
        <v>0</v>
      </c>
      <c r="H37" s="16"/>
      <c r="I37" s="33"/>
      <c r="J37" s="68" t="e">
        <f t="shared" si="4"/>
        <v>#DIV/0!</v>
      </c>
      <c r="K37" s="426"/>
    </row>
    <row r="38" spans="1:11" ht="15" customHeight="1" outlineLevel="2">
      <c r="A38" s="422" t="s">
        <v>41</v>
      </c>
      <c r="B38" s="423"/>
      <c r="C38" s="423"/>
      <c r="D38" s="423"/>
      <c r="E38" s="423"/>
      <c r="F38" s="423"/>
      <c r="G38" s="423"/>
      <c r="H38" s="423"/>
      <c r="I38" s="424"/>
      <c r="J38" s="35">
        <f>SUM(J20:J34)</f>
        <v>5216</v>
      </c>
      <c r="K38" s="427"/>
    </row>
    <row r="39" spans="1:11" s="44" customFormat="1" outlineLevel="2">
      <c r="A39" s="39"/>
      <c r="B39" s="40"/>
      <c r="C39" s="40"/>
      <c r="D39" s="40"/>
      <c r="E39" s="40"/>
      <c r="F39" s="54"/>
      <c r="G39" s="40"/>
      <c r="H39" s="40"/>
      <c r="I39" s="41"/>
      <c r="J39" s="42"/>
      <c r="K39" s="43"/>
    </row>
    <row r="40" spans="1:11" s="37" customFormat="1" ht="68.25" customHeight="1">
      <c r="A40" s="36" t="s">
        <v>1</v>
      </c>
      <c r="B40" s="36" t="s">
        <v>3</v>
      </c>
      <c r="C40" s="420"/>
      <c r="D40" s="421"/>
      <c r="E40" s="36" t="s">
        <v>56</v>
      </c>
      <c r="F40" s="36" t="s">
        <v>2</v>
      </c>
      <c r="G40" s="31" t="s">
        <v>53</v>
      </c>
      <c r="H40" s="31" t="s">
        <v>55</v>
      </c>
      <c r="I40" s="31" t="s">
        <v>68</v>
      </c>
      <c r="J40" s="31" t="s">
        <v>5</v>
      </c>
      <c r="K40" s="31" t="s">
        <v>0</v>
      </c>
    </row>
    <row r="41" spans="1:11">
      <c r="A41" s="31">
        <v>1</v>
      </c>
      <c r="B41" s="31">
        <v>2</v>
      </c>
      <c r="C41" s="414"/>
      <c r="D41" s="415"/>
      <c r="E41" s="31">
        <v>3</v>
      </c>
      <c r="F41" s="31">
        <v>4</v>
      </c>
      <c r="G41" s="31" t="s">
        <v>71</v>
      </c>
      <c r="H41" s="31">
        <v>6</v>
      </c>
      <c r="I41" s="31">
        <v>7</v>
      </c>
      <c r="J41" s="31" t="s">
        <v>54</v>
      </c>
      <c r="K41" s="31">
        <v>9</v>
      </c>
    </row>
    <row r="42" spans="1:11">
      <c r="A42" s="416" t="s">
        <v>8</v>
      </c>
      <c r="B42" s="412"/>
      <c r="C42" s="412"/>
      <c r="D42" s="412"/>
      <c r="E42" s="412"/>
      <c r="F42" s="412"/>
      <c r="G42" s="412"/>
      <c r="H42" s="412"/>
      <c r="I42" s="412"/>
      <c r="J42" s="412"/>
      <c r="K42" s="413"/>
    </row>
    <row r="43" spans="1:11" hidden="1" outlineLevel="2">
      <c r="A43" s="27">
        <v>1</v>
      </c>
      <c r="B43" s="73"/>
      <c r="C43" s="394"/>
      <c r="D43" s="395"/>
      <c r="E43" s="1"/>
      <c r="F43" s="8"/>
      <c r="G43" s="71"/>
      <c r="H43" s="16"/>
      <c r="I43" s="33"/>
      <c r="J43" s="34"/>
      <c r="K43" s="436" t="s">
        <v>160</v>
      </c>
    </row>
    <row r="44" spans="1:11" hidden="1" outlineLevel="2">
      <c r="A44" s="27">
        <v>2</v>
      </c>
      <c r="B44" s="73"/>
      <c r="C44" s="394"/>
      <c r="D44" s="395"/>
      <c r="E44" s="1"/>
      <c r="F44" s="8"/>
      <c r="G44" s="71"/>
      <c r="H44" s="16"/>
      <c r="I44" s="33"/>
      <c r="J44" s="34"/>
      <c r="K44" s="437"/>
    </row>
    <row r="45" spans="1:11" hidden="1" outlineLevel="2">
      <c r="A45" s="27">
        <v>3</v>
      </c>
      <c r="B45" s="74"/>
      <c r="C45" s="394"/>
      <c r="D45" s="395"/>
      <c r="E45" s="1"/>
      <c r="F45" s="8"/>
      <c r="G45" s="71"/>
      <c r="H45" s="16"/>
      <c r="I45" s="33"/>
      <c r="J45" s="34"/>
      <c r="K45" s="437"/>
    </row>
    <row r="46" spans="1:11" hidden="1" outlineLevel="2">
      <c r="A46" s="27">
        <v>4</v>
      </c>
      <c r="B46" s="73"/>
      <c r="C46" s="394"/>
      <c r="D46" s="395"/>
      <c r="E46" s="1"/>
      <c r="F46" s="8"/>
      <c r="G46" s="71"/>
      <c r="H46" s="16"/>
      <c r="I46" s="33"/>
      <c r="J46" s="34"/>
      <c r="K46" s="437"/>
    </row>
    <row r="47" spans="1:11" hidden="1" outlineLevel="2">
      <c r="A47" s="27">
        <v>5</v>
      </c>
      <c r="B47" s="74"/>
      <c r="C47" s="394"/>
      <c r="D47" s="395"/>
      <c r="E47" s="1"/>
      <c r="F47" s="8"/>
      <c r="G47" s="71"/>
      <c r="H47" s="16"/>
      <c r="I47" s="33"/>
      <c r="J47" s="34"/>
      <c r="K47" s="437"/>
    </row>
    <row r="48" spans="1:11" hidden="1" outlineLevel="2">
      <c r="A48" s="27">
        <v>6</v>
      </c>
      <c r="B48" s="74"/>
      <c r="C48" s="394"/>
      <c r="D48" s="395"/>
      <c r="E48" s="1"/>
      <c r="F48" s="8"/>
      <c r="G48" s="71"/>
      <c r="H48" s="16"/>
      <c r="I48" s="33"/>
      <c r="J48" s="34"/>
      <c r="K48" s="437"/>
    </row>
    <row r="49" spans="1:11" ht="15" hidden="1" customHeight="1" outlineLevel="2">
      <c r="A49" s="27">
        <v>8</v>
      </c>
      <c r="B49" s="74"/>
      <c r="C49" s="79"/>
      <c r="D49" s="15"/>
      <c r="E49" s="1">
        <v>0.4</v>
      </c>
      <c r="F49" s="8">
        <f>F8</f>
        <v>600</v>
      </c>
      <c r="G49" s="15">
        <f t="shared" ref="G49:G58" si="5">E49/F49</f>
        <v>6.6666666666666675E-4</v>
      </c>
      <c r="H49" s="16">
        <v>1</v>
      </c>
      <c r="I49" s="33">
        <v>7000</v>
      </c>
      <c r="J49" s="34">
        <f t="shared" ref="J49:J58" si="6">IFERROR(G49*I49/H49,0)</f>
        <v>4.666666666666667</v>
      </c>
      <c r="K49" s="437"/>
    </row>
    <row r="50" spans="1:11" ht="15" hidden="1" customHeight="1" outlineLevel="2">
      <c r="A50" s="27">
        <v>9</v>
      </c>
      <c r="B50" s="74"/>
      <c r="C50" s="79"/>
      <c r="D50" s="15"/>
      <c r="E50" s="1">
        <v>0.4</v>
      </c>
      <c r="F50" s="8">
        <f>F8</f>
        <v>600</v>
      </c>
      <c r="G50" s="15">
        <f t="shared" si="5"/>
        <v>6.6666666666666675E-4</v>
      </c>
      <c r="H50" s="16">
        <v>1</v>
      </c>
      <c r="I50" s="33">
        <v>7000</v>
      </c>
      <c r="J50" s="34">
        <f t="shared" si="6"/>
        <v>4.666666666666667</v>
      </c>
      <c r="K50" s="437"/>
    </row>
    <row r="51" spans="1:11" ht="15" hidden="1" customHeight="1" outlineLevel="2">
      <c r="A51" s="27">
        <v>10</v>
      </c>
      <c r="B51" s="74"/>
      <c r="C51" s="79"/>
      <c r="D51" s="15"/>
      <c r="E51" s="1">
        <v>0.4</v>
      </c>
      <c r="F51" s="8">
        <f>F9</f>
        <v>600</v>
      </c>
      <c r="G51" s="15">
        <f t="shared" si="5"/>
        <v>6.6666666666666675E-4</v>
      </c>
      <c r="H51" s="16">
        <v>1</v>
      </c>
      <c r="I51" s="33">
        <v>7000</v>
      </c>
      <c r="J51" s="34">
        <f t="shared" si="6"/>
        <v>4.666666666666667</v>
      </c>
      <c r="K51" s="437"/>
    </row>
    <row r="52" spans="1:11" ht="15" hidden="1" customHeight="1" outlineLevel="2">
      <c r="A52" s="27">
        <v>11</v>
      </c>
      <c r="B52" s="74"/>
      <c r="C52" s="79"/>
      <c r="D52" s="15"/>
      <c r="E52" s="1">
        <v>0.4</v>
      </c>
      <c r="F52" s="8" t="e">
        <f>#REF!</f>
        <v>#REF!</v>
      </c>
      <c r="G52" s="15" t="e">
        <f t="shared" si="5"/>
        <v>#REF!</v>
      </c>
      <c r="H52" s="16">
        <v>1</v>
      </c>
      <c r="I52" s="33">
        <v>7000</v>
      </c>
      <c r="J52" s="34">
        <f t="shared" si="6"/>
        <v>0</v>
      </c>
      <c r="K52" s="437"/>
    </row>
    <row r="53" spans="1:11" ht="15" hidden="1" customHeight="1" outlineLevel="2">
      <c r="A53" s="27">
        <v>11</v>
      </c>
      <c r="B53" s="74"/>
      <c r="C53" s="79"/>
      <c r="D53" s="15"/>
      <c r="E53" s="1">
        <v>0.4</v>
      </c>
      <c r="F53" s="8">
        <f t="shared" ref="F53:F57" si="7">F10</f>
        <v>600</v>
      </c>
      <c r="G53" s="15">
        <f t="shared" si="5"/>
        <v>6.6666666666666675E-4</v>
      </c>
      <c r="H53" s="16">
        <v>1</v>
      </c>
      <c r="I53" s="33">
        <v>7000</v>
      </c>
      <c r="J53" s="34">
        <f t="shared" si="6"/>
        <v>4.666666666666667</v>
      </c>
      <c r="K53" s="437"/>
    </row>
    <row r="54" spans="1:11" ht="15" hidden="1" customHeight="1" outlineLevel="2">
      <c r="A54" s="27">
        <v>12</v>
      </c>
      <c r="B54" s="15" t="s">
        <v>23</v>
      </c>
      <c r="C54" s="75"/>
      <c r="D54" s="15"/>
      <c r="E54" s="1">
        <v>0.4</v>
      </c>
      <c r="F54" s="8">
        <f t="shared" si="7"/>
        <v>600</v>
      </c>
      <c r="G54" s="15">
        <f t="shared" si="5"/>
        <v>6.6666666666666675E-4</v>
      </c>
      <c r="H54" s="16">
        <v>1</v>
      </c>
      <c r="I54" s="33">
        <v>7000</v>
      </c>
      <c r="J54" s="34">
        <f t="shared" si="6"/>
        <v>4.666666666666667</v>
      </c>
      <c r="K54" s="437"/>
    </row>
    <row r="55" spans="1:11" ht="15" hidden="1" customHeight="1" outlineLevel="2">
      <c r="A55" s="27">
        <v>13</v>
      </c>
      <c r="B55" s="15" t="s">
        <v>23</v>
      </c>
      <c r="C55" s="75"/>
      <c r="D55" s="15"/>
      <c r="E55" s="1">
        <v>0.4</v>
      </c>
      <c r="F55" s="8">
        <f t="shared" si="7"/>
        <v>0</v>
      </c>
      <c r="G55" s="15" t="e">
        <f t="shared" si="5"/>
        <v>#DIV/0!</v>
      </c>
      <c r="H55" s="16">
        <v>1</v>
      </c>
      <c r="I55" s="33">
        <v>7000</v>
      </c>
      <c r="J55" s="34">
        <f t="shared" si="6"/>
        <v>0</v>
      </c>
      <c r="K55" s="437"/>
    </row>
    <row r="56" spans="1:11" ht="15" hidden="1" customHeight="1" outlineLevel="2">
      <c r="A56" s="27">
        <v>1</v>
      </c>
      <c r="B56" s="15" t="s">
        <v>23</v>
      </c>
      <c r="C56" s="75"/>
      <c r="D56" s="15"/>
      <c r="E56" s="1">
        <v>0.4</v>
      </c>
      <c r="F56" s="8">
        <f t="shared" si="7"/>
        <v>0</v>
      </c>
      <c r="G56" s="15" t="e">
        <f t="shared" si="5"/>
        <v>#DIV/0!</v>
      </c>
      <c r="H56" s="16">
        <v>1</v>
      </c>
      <c r="I56" s="33">
        <v>7000</v>
      </c>
      <c r="J56" s="34">
        <f t="shared" si="6"/>
        <v>0</v>
      </c>
      <c r="K56" s="437"/>
    </row>
    <row r="57" spans="1:11" ht="15" hidden="1" customHeight="1" outlineLevel="2">
      <c r="A57" s="27">
        <v>1</v>
      </c>
      <c r="B57" s="15" t="s">
        <v>23</v>
      </c>
      <c r="C57" s="75"/>
      <c r="D57" s="15"/>
      <c r="E57" s="1">
        <v>0.4</v>
      </c>
      <c r="F57" s="8">
        <f t="shared" si="7"/>
        <v>0</v>
      </c>
      <c r="G57" s="15" t="e">
        <f t="shared" si="5"/>
        <v>#DIV/0!</v>
      </c>
      <c r="H57" s="16">
        <v>1</v>
      </c>
      <c r="I57" s="33">
        <v>7000</v>
      </c>
      <c r="J57" s="34">
        <f t="shared" si="6"/>
        <v>0</v>
      </c>
      <c r="K57" s="437"/>
    </row>
    <row r="58" spans="1:11" ht="15" hidden="1" customHeight="1" outlineLevel="2">
      <c r="A58" s="27"/>
      <c r="B58" s="15"/>
      <c r="C58" s="75"/>
      <c r="D58" s="15"/>
      <c r="E58" s="1"/>
      <c r="F58" s="51"/>
      <c r="G58" s="15" t="e">
        <f t="shared" si="5"/>
        <v>#DIV/0!</v>
      </c>
      <c r="H58" s="16"/>
      <c r="I58" s="33"/>
      <c r="J58" s="34">
        <f t="shared" si="6"/>
        <v>0</v>
      </c>
      <c r="K58" s="437"/>
    </row>
    <row r="59" spans="1:11" ht="15" customHeight="1" outlineLevel="2">
      <c r="A59" s="422" t="s">
        <v>42</v>
      </c>
      <c r="B59" s="423"/>
      <c r="C59" s="423"/>
      <c r="D59" s="423"/>
      <c r="E59" s="423"/>
      <c r="F59" s="423"/>
      <c r="G59" s="423"/>
      <c r="H59" s="423"/>
      <c r="I59" s="424"/>
      <c r="J59" s="35">
        <f>SUM(J43:J48)</f>
        <v>0</v>
      </c>
      <c r="K59" s="438"/>
    </row>
    <row r="60" spans="1:11" ht="15.75" customHeight="1" thickBot="1">
      <c r="A60" s="452" t="s">
        <v>102</v>
      </c>
      <c r="B60" s="453"/>
      <c r="C60" s="453"/>
      <c r="D60" s="453"/>
      <c r="E60" s="453"/>
      <c r="F60" s="453"/>
      <c r="G60" s="453"/>
      <c r="H60" s="453"/>
      <c r="I60" s="454"/>
      <c r="J60" s="35">
        <f>J59+J38+J15</f>
        <v>57940</v>
      </c>
      <c r="K60" s="16"/>
    </row>
    <row r="61" spans="1:11" ht="56.25">
      <c r="A61" s="18" t="s">
        <v>9</v>
      </c>
      <c r="B61" s="18" t="s">
        <v>10</v>
      </c>
      <c r="C61" s="18" t="s">
        <v>27</v>
      </c>
      <c r="D61" s="18" t="s">
        <v>19</v>
      </c>
      <c r="E61" s="36" t="s">
        <v>2</v>
      </c>
      <c r="F61" s="13" t="s">
        <v>88</v>
      </c>
      <c r="G61" s="18" t="s">
        <v>50</v>
      </c>
      <c r="H61" s="18" t="s">
        <v>69</v>
      </c>
      <c r="I61" s="18" t="s">
        <v>22</v>
      </c>
      <c r="J61" s="18" t="s">
        <v>11</v>
      </c>
      <c r="K61" s="18" t="s">
        <v>43</v>
      </c>
    </row>
    <row r="62" spans="1:11">
      <c r="A62" s="19">
        <v>1</v>
      </c>
      <c r="B62" s="19">
        <v>1</v>
      </c>
      <c r="C62" s="19">
        <v>2</v>
      </c>
      <c r="D62" s="19">
        <v>3</v>
      </c>
      <c r="E62" s="121">
        <v>4</v>
      </c>
      <c r="F62" s="121">
        <v>5</v>
      </c>
      <c r="G62" s="19" t="s">
        <v>57</v>
      </c>
      <c r="H62" s="19">
        <v>7</v>
      </c>
      <c r="I62" s="19">
        <v>8</v>
      </c>
      <c r="J62" s="19" t="s">
        <v>105</v>
      </c>
      <c r="K62" s="18"/>
    </row>
    <row r="63" spans="1:11" ht="15" customHeight="1">
      <c r="A63" s="433" t="s">
        <v>12</v>
      </c>
      <c r="B63" s="434"/>
      <c r="C63" s="434"/>
      <c r="D63" s="434"/>
      <c r="E63" s="434"/>
      <c r="F63" s="434"/>
      <c r="G63" s="434"/>
      <c r="H63" s="434"/>
      <c r="I63" s="434"/>
      <c r="J63" s="434"/>
      <c r="K63" s="435"/>
    </row>
    <row r="64" spans="1:11" hidden="1">
      <c r="A64" s="20">
        <v>1</v>
      </c>
      <c r="B64" s="8"/>
      <c r="C64" s="4"/>
      <c r="D64" s="80"/>
      <c r="E64" s="51"/>
      <c r="F64" s="52"/>
      <c r="G64" s="64"/>
      <c r="H64" s="120"/>
      <c r="I64" s="21"/>
      <c r="J64" s="28"/>
      <c r="K64" s="455" t="s">
        <v>161</v>
      </c>
    </row>
    <row r="65" spans="1:11" hidden="1">
      <c r="A65" s="20">
        <v>2</v>
      </c>
      <c r="B65" s="8"/>
      <c r="C65" s="4"/>
      <c r="D65" s="80"/>
      <c r="E65" s="51"/>
      <c r="F65" s="52"/>
      <c r="G65" s="64"/>
      <c r="H65" s="120"/>
      <c r="I65" s="21"/>
      <c r="J65" s="28"/>
      <c r="K65" s="456"/>
    </row>
    <row r="66" spans="1:11" hidden="1">
      <c r="A66" s="20">
        <v>3</v>
      </c>
      <c r="B66" s="8"/>
      <c r="C66" s="4"/>
      <c r="D66" s="80"/>
      <c r="E66" s="51"/>
      <c r="F66" s="52"/>
      <c r="G66" s="64"/>
      <c r="H66" s="120"/>
      <c r="I66" s="21"/>
      <c r="J66" s="28"/>
      <c r="K66" s="456"/>
    </row>
    <row r="67" spans="1:11" hidden="1">
      <c r="A67" s="20">
        <v>4</v>
      </c>
      <c r="B67" s="8"/>
      <c r="C67" s="4"/>
      <c r="D67" s="80"/>
      <c r="E67" s="51"/>
      <c r="F67" s="52"/>
      <c r="G67" s="64"/>
      <c r="H67" s="120"/>
      <c r="I67" s="21"/>
      <c r="J67" s="28"/>
      <c r="K67" s="456"/>
    </row>
    <row r="68" spans="1:11">
      <c r="A68" s="430" t="s">
        <v>26</v>
      </c>
      <c r="B68" s="431"/>
      <c r="C68" s="431"/>
      <c r="D68" s="431"/>
      <c r="E68" s="431"/>
      <c r="F68" s="431"/>
      <c r="G68" s="431"/>
      <c r="H68" s="431"/>
      <c r="I68" s="432"/>
      <c r="J68" s="29">
        <f>SUM(J64:J67)</f>
        <v>0</v>
      </c>
      <c r="K68" s="457"/>
    </row>
    <row r="69" spans="1:11" ht="15" customHeight="1">
      <c r="A69" s="433" t="s">
        <v>61</v>
      </c>
      <c r="B69" s="434"/>
      <c r="C69" s="434"/>
      <c r="D69" s="434"/>
      <c r="E69" s="434"/>
      <c r="F69" s="434"/>
      <c r="G69" s="434"/>
      <c r="H69" s="434"/>
      <c r="I69" s="434"/>
      <c r="J69" s="434"/>
      <c r="K69" s="435"/>
    </row>
    <row r="70" spans="1:11" ht="51" hidden="1" customHeight="1">
      <c r="A70" s="20">
        <v>1</v>
      </c>
      <c r="B70" s="20"/>
      <c r="C70" s="11"/>
      <c r="D70" s="56"/>
      <c r="E70" s="51"/>
      <c r="F70" s="52"/>
      <c r="G70" s="59"/>
      <c r="H70" s="10"/>
      <c r="I70" s="21"/>
      <c r="J70" s="28">
        <f t="shared" ref="J70:J76" si="8">H70*G70</f>
        <v>0</v>
      </c>
      <c r="K70" s="449" t="s">
        <v>164</v>
      </c>
    </row>
    <row r="71" spans="1:11" ht="41.25" hidden="1" customHeight="1">
      <c r="A71" s="20">
        <v>2</v>
      </c>
      <c r="B71" s="20"/>
      <c r="C71" s="11"/>
      <c r="D71" s="56"/>
      <c r="E71" s="51"/>
      <c r="F71" s="52"/>
      <c r="G71" s="59"/>
      <c r="H71" s="10"/>
      <c r="I71" s="21"/>
      <c r="J71" s="28">
        <f t="shared" si="8"/>
        <v>0</v>
      </c>
      <c r="K71" s="450"/>
    </row>
    <row r="72" spans="1:11" hidden="1">
      <c r="A72" s="20">
        <v>3</v>
      </c>
      <c r="B72" s="20"/>
      <c r="C72" s="11"/>
      <c r="D72" s="21"/>
      <c r="E72" s="51"/>
      <c r="F72" s="52"/>
      <c r="G72" s="59"/>
      <c r="H72" s="22"/>
      <c r="I72" s="21"/>
      <c r="J72" s="28">
        <f t="shared" si="8"/>
        <v>0</v>
      </c>
      <c r="K72" s="450"/>
    </row>
    <row r="73" spans="1:11" hidden="1">
      <c r="A73" s="20">
        <v>4</v>
      </c>
      <c r="B73" s="20"/>
      <c r="C73" s="11"/>
      <c r="D73" s="56"/>
      <c r="E73" s="51"/>
      <c r="F73" s="52"/>
      <c r="G73" s="59"/>
      <c r="H73" s="10"/>
      <c r="I73" s="21"/>
      <c r="J73" s="28">
        <f t="shared" si="8"/>
        <v>0</v>
      </c>
      <c r="K73" s="450"/>
    </row>
    <row r="74" spans="1:11" hidden="1">
      <c r="A74" s="20">
        <v>5</v>
      </c>
      <c r="B74" s="20"/>
      <c r="C74" s="11"/>
      <c r="D74" s="56"/>
      <c r="E74" s="51"/>
      <c r="F74" s="52"/>
      <c r="G74" s="59"/>
      <c r="H74" s="10"/>
      <c r="I74" s="21"/>
      <c r="J74" s="28">
        <f t="shared" si="8"/>
        <v>0</v>
      </c>
      <c r="K74" s="450"/>
    </row>
    <row r="75" spans="1:11" hidden="1">
      <c r="A75" s="20">
        <v>6</v>
      </c>
      <c r="B75" s="20"/>
      <c r="C75" s="11"/>
      <c r="D75" s="56"/>
      <c r="E75" s="51"/>
      <c r="F75" s="52"/>
      <c r="G75" s="59"/>
      <c r="H75" s="10"/>
      <c r="I75" s="21"/>
      <c r="J75" s="28">
        <f t="shared" si="8"/>
        <v>0</v>
      </c>
      <c r="K75" s="450"/>
    </row>
    <row r="76" spans="1:11" hidden="1">
      <c r="A76" s="20">
        <v>7</v>
      </c>
      <c r="B76" s="20"/>
      <c r="C76" s="11"/>
      <c r="D76" s="56"/>
      <c r="E76" s="51"/>
      <c r="F76" s="52"/>
      <c r="G76" s="59"/>
      <c r="H76" s="10"/>
      <c r="I76" s="21"/>
      <c r="J76" s="28">
        <f t="shared" si="8"/>
        <v>0</v>
      </c>
      <c r="K76" s="451"/>
    </row>
    <row r="77" spans="1:11">
      <c r="A77" s="430" t="s">
        <v>26</v>
      </c>
      <c r="B77" s="431"/>
      <c r="C77" s="431"/>
      <c r="D77" s="431"/>
      <c r="E77" s="431"/>
      <c r="F77" s="431"/>
      <c r="G77" s="431"/>
      <c r="H77" s="431"/>
      <c r="I77" s="432"/>
      <c r="J77" s="30">
        <f>SUM(J70:J76)</f>
        <v>0</v>
      </c>
      <c r="K77" s="8"/>
    </row>
    <row r="78" spans="1:11" ht="15" customHeight="1">
      <c r="A78" s="460" t="s">
        <v>60</v>
      </c>
      <c r="B78" s="461"/>
      <c r="C78" s="461"/>
      <c r="D78" s="461"/>
      <c r="E78" s="461"/>
      <c r="F78" s="461"/>
      <c r="G78" s="461"/>
      <c r="H78" s="461"/>
      <c r="I78" s="461"/>
      <c r="J78" s="461"/>
      <c r="K78" s="462"/>
    </row>
    <row r="79" spans="1:11" hidden="1">
      <c r="A79" s="20"/>
      <c r="B79" s="20"/>
      <c r="C79" s="20"/>
      <c r="D79" s="5"/>
      <c r="E79" s="51">
        <v>405150</v>
      </c>
      <c r="F79" s="52"/>
      <c r="G79" s="59">
        <f t="shared" ref="G79:G81" si="9">D79*F79/E79</f>
        <v>0</v>
      </c>
      <c r="H79" s="3"/>
      <c r="I79" s="21"/>
      <c r="J79" s="28">
        <f>H79*G79</f>
        <v>0</v>
      </c>
      <c r="K79" s="8"/>
    </row>
    <row r="80" spans="1:11" hidden="1">
      <c r="A80" s="20"/>
      <c r="B80" s="20"/>
      <c r="C80" s="20"/>
      <c r="D80" s="5"/>
      <c r="E80" s="51">
        <v>405150</v>
      </c>
      <c r="F80" s="52"/>
      <c r="G80" s="59">
        <f t="shared" si="9"/>
        <v>0</v>
      </c>
      <c r="H80" s="4"/>
      <c r="I80" s="21"/>
      <c r="J80" s="28">
        <f>H80*G80</f>
        <v>0</v>
      </c>
      <c r="K80" s="8"/>
    </row>
    <row r="81" spans="1:11" hidden="1">
      <c r="A81" s="20"/>
      <c r="B81" s="20"/>
      <c r="C81" s="20"/>
      <c r="D81" s="5"/>
      <c r="E81" s="51">
        <v>405150</v>
      </c>
      <c r="F81" s="52"/>
      <c r="G81" s="59">
        <f t="shared" si="9"/>
        <v>0</v>
      </c>
      <c r="H81" s="4"/>
      <c r="I81" s="21"/>
      <c r="J81" s="28">
        <f>H81*G81</f>
        <v>0</v>
      </c>
      <c r="K81" s="8"/>
    </row>
    <row r="82" spans="1:11">
      <c r="A82" s="430" t="s">
        <v>26</v>
      </c>
      <c r="B82" s="431"/>
      <c r="C82" s="431"/>
      <c r="D82" s="431"/>
      <c r="E82" s="431"/>
      <c r="F82" s="431"/>
      <c r="G82" s="431"/>
      <c r="H82" s="431"/>
      <c r="I82" s="432"/>
      <c r="J82" s="30">
        <f>SUM(J79:J81)</f>
        <v>0</v>
      </c>
      <c r="K82" s="8"/>
    </row>
    <row r="83" spans="1:11" ht="15" customHeight="1">
      <c r="A83" s="433" t="s">
        <v>20</v>
      </c>
      <c r="B83" s="434"/>
      <c r="C83" s="434"/>
      <c r="D83" s="434"/>
      <c r="E83" s="434"/>
      <c r="F83" s="434"/>
      <c r="G83" s="434"/>
      <c r="H83" s="434"/>
      <c r="I83" s="434"/>
      <c r="J83" s="434"/>
      <c r="K83" s="435"/>
    </row>
    <row r="84" spans="1:11" ht="39" customHeight="1">
      <c r="A84" s="20">
        <v>1</v>
      </c>
      <c r="B84" s="20" t="s">
        <v>21</v>
      </c>
      <c r="C84" s="11" t="s">
        <v>172</v>
      </c>
      <c r="D84" s="5">
        <v>1</v>
      </c>
      <c r="E84" s="51">
        <v>600</v>
      </c>
      <c r="F84" s="52">
        <v>1</v>
      </c>
      <c r="G84" s="59">
        <f>D84*F84</f>
        <v>1</v>
      </c>
      <c r="H84" s="125">
        <f>87800/12</f>
        <v>7316.666666666667</v>
      </c>
      <c r="I84" s="5"/>
      <c r="J84" s="28">
        <f>ROUND(G84*H84,0)</f>
        <v>7317</v>
      </c>
      <c r="K84" s="439" t="s">
        <v>164</v>
      </c>
    </row>
    <row r="85" spans="1:11" ht="15" hidden="1" customHeight="1">
      <c r="A85" s="20"/>
      <c r="B85" s="20"/>
      <c r="C85" s="8"/>
      <c r="D85" s="5"/>
      <c r="E85" s="51">
        <v>405150</v>
      </c>
      <c r="F85" s="52">
        <v>1</v>
      </c>
      <c r="G85" s="59">
        <f t="shared" ref="G85:G86" si="10">D85*F85</f>
        <v>0</v>
      </c>
      <c r="H85" s="4">
        <v>11932</v>
      </c>
      <c r="I85" s="5"/>
      <c r="J85" s="28">
        <f t="shared" ref="J85:J86" si="11">ROUND(G85*H85,0)</f>
        <v>0</v>
      </c>
      <c r="K85" s="440"/>
    </row>
    <row r="86" spans="1:11" ht="25.5" customHeight="1">
      <c r="A86" s="20">
        <v>2</v>
      </c>
      <c r="B86" s="20" t="s">
        <v>23</v>
      </c>
      <c r="C86" s="11" t="s">
        <v>173</v>
      </c>
      <c r="D86" s="5">
        <v>1</v>
      </c>
      <c r="E86" s="51">
        <v>600</v>
      </c>
      <c r="F86" s="52">
        <v>1</v>
      </c>
      <c r="G86" s="59">
        <f t="shared" si="10"/>
        <v>1</v>
      </c>
      <c r="H86" s="4">
        <f>144000/12</f>
        <v>12000</v>
      </c>
      <c r="I86" s="5"/>
      <c r="J86" s="28">
        <f t="shared" si="11"/>
        <v>12000</v>
      </c>
      <c r="K86" s="440"/>
    </row>
    <row r="87" spans="1:11">
      <c r="A87" s="23"/>
      <c r="B87" s="20"/>
      <c r="C87" s="11"/>
      <c r="D87" s="5"/>
      <c r="E87" s="51"/>
      <c r="F87" s="52"/>
      <c r="G87" s="59"/>
      <c r="H87" s="4"/>
      <c r="I87" s="5"/>
      <c r="J87" s="28"/>
      <c r="K87" s="441"/>
    </row>
    <row r="88" spans="1:11">
      <c r="A88" s="430" t="s">
        <v>26</v>
      </c>
      <c r="B88" s="431"/>
      <c r="C88" s="431"/>
      <c r="D88" s="431"/>
      <c r="E88" s="431"/>
      <c r="F88" s="431"/>
      <c r="G88" s="431"/>
      <c r="H88" s="431"/>
      <c r="I88" s="432"/>
      <c r="J88" s="30">
        <f>SUM(J84:J87)</f>
        <v>19317</v>
      </c>
      <c r="K88" s="8"/>
    </row>
    <row r="89" spans="1:11" ht="15" customHeight="1">
      <c r="A89" s="433" t="s">
        <v>25</v>
      </c>
      <c r="B89" s="434"/>
      <c r="C89" s="434"/>
      <c r="D89" s="434"/>
      <c r="E89" s="434"/>
      <c r="F89" s="434"/>
      <c r="G89" s="434"/>
      <c r="H89" s="434"/>
      <c r="I89" s="434"/>
      <c r="J89" s="434"/>
      <c r="K89" s="435"/>
    </row>
    <row r="90" spans="1:11" hidden="1">
      <c r="A90" s="20">
        <v>1</v>
      </c>
      <c r="B90" s="20"/>
      <c r="C90" s="20"/>
      <c r="D90" s="5"/>
      <c r="E90" s="51"/>
      <c r="F90" s="52"/>
      <c r="G90" s="59"/>
      <c r="H90" s="4"/>
      <c r="I90" s="21"/>
      <c r="J90" s="28">
        <f>G90*H90</f>
        <v>0</v>
      </c>
      <c r="K90" s="428" t="s">
        <v>165</v>
      </c>
    </row>
    <row r="91" spans="1:11" hidden="1">
      <c r="A91" s="20">
        <v>2</v>
      </c>
      <c r="B91" s="20"/>
      <c r="C91" s="20"/>
      <c r="D91" s="21"/>
      <c r="E91" s="51"/>
      <c r="F91" s="52"/>
      <c r="G91" s="59"/>
      <c r="H91" s="8"/>
      <c r="I91" s="21"/>
      <c r="J91" s="28">
        <f>G91*H91</f>
        <v>0</v>
      </c>
      <c r="K91" s="429"/>
    </row>
    <row r="92" spans="1:11">
      <c r="A92" s="430" t="s">
        <v>26</v>
      </c>
      <c r="B92" s="431"/>
      <c r="C92" s="431"/>
      <c r="D92" s="431"/>
      <c r="E92" s="431"/>
      <c r="F92" s="431"/>
      <c r="G92" s="431"/>
      <c r="H92" s="431"/>
      <c r="I92" s="432"/>
      <c r="J92" s="30">
        <f>SUM(J90:J91)</f>
        <v>0</v>
      </c>
      <c r="K92" s="8"/>
    </row>
    <row r="93" spans="1:11" ht="15" customHeight="1">
      <c r="A93" s="446" t="s">
        <v>59</v>
      </c>
      <c r="B93" s="447"/>
      <c r="C93" s="447"/>
      <c r="D93" s="447"/>
      <c r="E93" s="447"/>
      <c r="F93" s="447"/>
      <c r="G93" s="447"/>
      <c r="H93" s="447"/>
      <c r="I93" s="447"/>
      <c r="J93" s="447"/>
      <c r="K93" s="448"/>
    </row>
    <row r="94" spans="1:11" ht="60" customHeight="1">
      <c r="A94" s="20">
        <v>1</v>
      </c>
      <c r="B94" s="24" t="s">
        <v>46</v>
      </c>
      <c r="C94" s="8" t="s">
        <v>29</v>
      </c>
      <c r="D94" s="65">
        <v>1</v>
      </c>
      <c r="E94" s="51">
        <v>600</v>
      </c>
      <c r="F94" s="52">
        <v>1</v>
      </c>
      <c r="G94" s="59">
        <v>0.5</v>
      </c>
      <c r="H94" s="83">
        <f>667814.4*1.302/12</f>
        <v>72457.862399999998</v>
      </c>
      <c r="I94" s="21"/>
      <c r="J94" s="28">
        <f>ROUND(G94*H94,0)</f>
        <v>36229</v>
      </c>
      <c r="K94" s="458" t="s">
        <v>166</v>
      </c>
    </row>
    <row r="95" spans="1:11">
      <c r="A95" s="20">
        <v>2</v>
      </c>
      <c r="B95" s="24" t="s">
        <v>47</v>
      </c>
      <c r="C95" s="8" t="s">
        <v>29</v>
      </c>
      <c r="D95" s="65">
        <v>2</v>
      </c>
      <c r="E95" s="51">
        <v>600</v>
      </c>
      <c r="F95" s="52">
        <v>1</v>
      </c>
      <c r="G95" s="59">
        <v>0.5</v>
      </c>
      <c r="H95" s="83">
        <f>(1094920+848160)*1.302/4/12</f>
        <v>52706.045000000006</v>
      </c>
      <c r="I95" s="21"/>
      <c r="J95" s="28">
        <f t="shared" ref="J95:J98" si="12">ROUND(G95*H95,0)</f>
        <v>26353</v>
      </c>
      <c r="K95" s="458"/>
    </row>
    <row r="96" spans="1:11">
      <c r="A96" s="20">
        <v>3</v>
      </c>
      <c r="B96" s="24" t="s">
        <v>107</v>
      </c>
      <c r="C96" s="8" t="s">
        <v>29</v>
      </c>
      <c r="D96" s="65">
        <v>1</v>
      </c>
      <c r="E96" s="51">
        <v>600</v>
      </c>
      <c r="F96" s="52">
        <v>1</v>
      </c>
      <c r="G96" s="59">
        <v>0.5</v>
      </c>
      <c r="H96" s="83">
        <f>176935.6*1.302/12</f>
        <v>19197.512600000002</v>
      </c>
      <c r="I96" s="21"/>
      <c r="J96" s="28">
        <f t="shared" si="12"/>
        <v>9599</v>
      </c>
      <c r="K96" s="458"/>
    </row>
    <row r="97" spans="1:12">
      <c r="A97" s="20"/>
      <c r="B97" s="24"/>
      <c r="C97" s="8"/>
      <c r="D97" s="65"/>
      <c r="E97" s="51"/>
      <c r="F97" s="52"/>
      <c r="G97" s="59"/>
      <c r="H97" s="83"/>
      <c r="I97" s="21"/>
      <c r="J97" s="28">
        <f t="shared" si="12"/>
        <v>0</v>
      </c>
      <c r="K97" s="458"/>
    </row>
    <row r="98" spans="1:12" ht="24">
      <c r="A98" s="20">
        <v>5</v>
      </c>
      <c r="B98" s="24" t="s">
        <v>48</v>
      </c>
      <c r="C98" s="8" t="s">
        <v>29</v>
      </c>
      <c r="D98" s="65">
        <v>1</v>
      </c>
      <c r="E98" s="51">
        <v>600</v>
      </c>
      <c r="F98" s="52">
        <v>1</v>
      </c>
      <c r="G98" s="59">
        <f>5/21</f>
        <v>0.23809523809523808</v>
      </c>
      <c r="H98" s="83">
        <f>1238549.2*1.302/7/12</f>
        <v>19197.512599999998</v>
      </c>
      <c r="I98" s="21"/>
      <c r="J98" s="28">
        <f t="shared" si="12"/>
        <v>4571</v>
      </c>
      <c r="K98" s="458"/>
    </row>
    <row r="99" spans="1:12">
      <c r="A99" s="20"/>
      <c r="B99" s="24"/>
      <c r="C99" s="8"/>
      <c r="D99" s="65"/>
      <c r="E99" s="51"/>
      <c r="F99" s="52"/>
      <c r="G99" s="59"/>
      <c r="H99" s="83"/>
      <c r="I99" s="21"/>
      <c r="J99" s="28"/>
      <c r="K99" s="458"/>
    </row>
    <row r="100" spans="1:12">
      <c r="A100" s="20"/>
      <c r="B100" s="25"/>
      <c r="C100" s="8"/>
      <c r="D100" s="65"/>
      <c r="E100" s="51"/>
      <c r="F100" s="52"/>
      <c r="G100" s="59"/>
      <c r="H100" s="83"/>
      <c r="I100" s="21"/>
      <c r="J100" s="28"/>
      <c r="K100" s="458"/>
    </row>
    <row r="101" spans="1:12">
      <c r="A101" s="20"/>
      <c r="B101" s="25"/>
      <c r="C101" s="8"/>
      <c r="D101" s="65"/>
      <c r="E101" s="51"/>
      <c r="F101" s="52"/>
      <c r="G101" s="59"/>
      <c r="H101" s="83"/>
      <c r="I101" s="21"/>
      <c r="J101" s="28"/>
      <c r="K101" s="458"/>
    </row>
    <row r="102" spans="1:12">
      <c r="A102" s="20"/>
      <c r="B102" s="26"/>
      <c r="C102" s="8"/>
      <c r="D102" s="65"/>
      <c r="E102" s="51"/>
      <c r="F102" s="52"/>
      <c r="G102" s="59"/>
      <c r="H102" s="83"/>
      <c r="I102" s="21"/>
      <c r="J102" s="28"/>
      <c r="K102" s="458"/>
    </row>
    <row r="103" spans="1:12">
      <c r="A103" s="430" t="s">
        <v>26</v>
      </c>
      <c r="B103" s="431"/>
      <c r="C103" s="431"/>
      <c r="D103" s="431"/>
      <c r="E103" s="431"/>
      <c r="F103" s="431"/>
      <c r="G103" s="431"/>
      <c r="H103" s="431"/>
      <c r="I103" s="432"/>
      <c r="J103" s="30">
        <f>SUM(J94:J102)</f>
        <v>76752</v>
      </c>
      <c r="K103" s="459"/>
    </row>
    <row r="104" spans="1:12" ht="15" customHeight="1">
      <c r="A104" s="433" t="s">
        <v>58</v>
      </c>
      <c r="B104" s="434"/>
      <c r="C104" s="434"/>
      <c r="D104" s="434"/>
      <c r="E104" s="434"/>
      <c r="F104" s="434"/>
      <c r="G104" s="434"/>
      <c r="H104" s="434"/>
      <c r="I104" s="434"/>
      <c r="J104" s="434"/>
      <c r="K104" s="435"/>
      <c r="L104" s="14">
        <f>J103*3</f>
        <v>230256</v>
      </c>
    </row>
    <row r="105" spans="1:12" ht="62.25" customHeight="1">
      <c r="A105" s="8">
        <v>1</v>
      </c>
      <c r="B105" s="6" t="s">
        <v>174</v>
      </c>
      <c r="C105" s="11" t="s">
        <v>175</v>
      </c>
      <c r="D105" s="21">
        <v>1</v>
      </c>
      <c r="E105" s="51">
        <v>600</v>
      </c>
      <c r="F105" s="52">
        <v>1</v>
      </c>
      <c r="G105" s="59">
        <v>1</v>
      </c>
      <c r="H105" s="6">
        <v>650</v>
      </c>
      <c r="I105" s="21"/>
      <c r="J105" s="28">
        <f>G105*H105</f>
        <v>650</v>
      </c>
      <c r="K105" s="449" t="s">
        <v>168</v>
      </c>
    </row>
    <row r="106" spans="1:12" ht="22.5" hidden="1" customHeight="1">
      <c r="A106" s="8">
        <v>2</v>
      </c>
      <c r="B106" s="6"/>
      <c r="C106" s="11"/>
      <c r="D106" s="21"/>
      <c r="E106" s="51"/>
      <c r="F106" s="52"/>
      <c r="G106" s="59"/>
      <c r="H106" s="6"/>
      <c r="I106" s="21"/>
      <c r="J106" s="28">
        <f t="shared" ref="J106:J120" si="13">G106*H106</f>
        <v>0</v>
      </c>
      <c r="K106" s="450"/>
    </row>
    <row r="107" spans="1:12" hidden="1">
      <c r="A107" s="8">
        <v>3</v>
      </c>
      <c r="B107" s="6"/>
      <c r="C107" s="11"/>
      <c r="D107" s="21"/>
      <c r="E107" s="51"/>
      <c r="F107" s="52"/>
      <c r="G107" s="59"/>
      <c r="H107" s="6"/>
      <c r="I107" s="21"/>
      <c r="J107" s="28">
        <f t="shared" si="13"/>
        <v>0</v>
      </c>
      <c r="K107" s="450"/>
    </row>
    <row r="108" spans="1:12" ht="22.5" hidden="1" customHeight="1">
      <c r="A108" s="8">
        <v>4</v>
      </c>
      <c r="B108" s="6"/>
      <c r="C108" s="11"/>
      <c r="D108" s="21"/>
      <c r="E108" s="51"/>
      <c r="F108" s="52"/>
      <c r="G108" s="59"/>
      <c r="H108" s="6"/>
      <c r="I108" s="21"/>
      <c r="J108" s="28">
        <f t="shared" si="13"/>
        <v>0</v>
      </c>
      <c r="K108" s="450"/>
    </row>
    <row r="109" spans="1:12" hidden="1">
      <c r="A109" s="8">
        <v>5</v>
      </c>
      <c r="B109" s="6"/>
      <c r="C109" s="11"/>
      <c r="D109" s="21"/>
      <c r="E109" s="51"/>
      <c r="F109" s="52"/>
      <c r="G109" s="59"/>
      <c r="H109" s="6"/>
      <c r="I109" s="21"/>
      <c r="J109" s="28">
        <f t="shared" si="13"/>
        <v>0</v>
      </c>
      <c r="K109" s="450"/>
    </row>
    <row r="110" spans="1:12" hidden="1">
      <c r="A110" s="8">
        <v>6</v>
      </c>
      <c r="B110" s="6"/>
      <c r="C110" s="11"/>
      <c r="D110" s="57"/>
      <c r="E110" s="51"/>
      <c r="F110" s="52"/>
      <c r="G110" s="59"/>
      <c r="H110" s="6"/>
      <c r="I110" s="21"/>
      <c r="J110" s="28">
        <f t="shared" si="13"/>
        <v>0</v>
      </c>
      <c r="K110" s="450"/>
    </row>
    <row r="111" spans="1:12" hidden="1">
      <c r="A111" s="8">
        <v>7</v>
      </c>
      <c r="B111" s="6"/>
      <c r="C111" s="11"/>
      <c r="D111" s="21"/>
      <c r="E111" s="51"/>
      <c r="F111" s="52"/>
      <c r="G111" s="59"/>
      <c r="H111" s="6"/>
      <c r="I111" s="21"/>
      <c r="J111" s="28">
        <f t="shared" si="13"/>
        <v>0</v>
      </c>
      <c r="K111" s="450"/>
    </row>
    <row r="112" spans="1:12" hidden="1">
      <c r="A112" s="8">
        <v>8</v>
      </c>
      <c r="B112" s="6"/>
      <c r="C112" s="11"/>
      <c r="D112" s="21"/>
      <c r="E112" s="51"/>
      <c r="F112" s="52"/>
      <c r="G112" s="59"/>
      <c r="H112" s="6"/>
      <c r="I112" s="21"/>
      <c r="J112" s="28">
        <f t="shared" si="13"/>
        <v>0</v>
      </c>
      <c r="K112" s="450"/>
    </row>
    <row r="113" spans="1:11" hidden="1">
      <c r="A113" s="8">
        <v>9</v>
      </c>
      <c r="B113" s="76"/>
      <c r="C113" s="11"/>
      <c r="D113" s="82"/>
      <c r="E113" s="51"/>
      <c r="F113" s="52"/>
      <c r="G113" s="59"/>
      <c r="H113" s="76"/>
      <c r="I113" s="82"/>
      <c r="J113" s="81">
        <f t="shared" si="13"/>
        <v>0</v>
      </c>
      <c r="K113" s="450"/>
    </row>
    <row r="114" spans="1:11" hidden="1">
      <c r="A114" s="8">
        <v>10</v>
      </c>
      <c r="B114" s="76"/>
      <c r="C114" s="11"/>
      <c r="D114" s="82"/>
      <c r="E114" s="51"/>
      <c r="F114" s="52"/>
      <c r="G114" s="59"/>
      <c r="H114" s="76"/>
      <c r="I114" s="82"/>
      <c r="J114" s="28">
        <f t="shared" si="13"/>
        <v>0</v>
      </c>
      <c r="K114" s="450"/>
    </row>
    <row r="115" spans="1:11" hidden="1">
      <c r="A115" s="8">
        <v>11</v>
      </c>
      <c r="B115" s="6"/>
      <c r="C115" s="11"/>
      <c r="D115" s="21"/>
      <c r="E115" s="51"/>
      <c r="F115" s="52"/>
      <c r="G115" s="59"/>
      <c r="H115" s="6"/>
      <c r="I115" s="21"/>
      <c r="J115" s="28">
        <f t="shared" si="13"/>
        <v>0</v>
      </c>
      <c r="K115" s="450"/>
    </row>
    <row r="116" spans="1:11" hidden="1">
      <c r="A116" s="8">
        <v>12</v>
      </c>
      <c r="B116" s="6"/>
      <c r="C116" s="11"/>
      <c r="D116" s="21"/>
      <c r="E116" s="51"/>
      <c r="F116" s="52"/>
      <c r="G116" s="59"/>
      <c r="H116" s="6"/>
      <c r="I116" s="21"/>
      <c r="J116" s="28">
        <f t="shared" si="13"/>
        <v>0</v>
      </c>
      <c r="K116" s="450"/>
    </row>
    <row r="117" spans="1:11" hidden="1">
      <c r="A117" s="8">
        <v>13</v>
      </c>
      <c r="B117" s="6"/>
      <c r="C117" s="11"/>
      <c r="D117" s="21"/>
      <c r="E117" s="51"/>
      <c r="F117" s="52"/>
      <c r="G117" s="59"/>
      <c r="H117" s="6"/>
      <c r="I117" s="21"/>
      <c r="J117" s="28">
        <f t="shared" si="13"/>
        <v>0</v>
      </c>
      <c r="K117" s="450"/>
    </row>
    <row r="118" spans="1:11" hidden="1">
      <c r="A118" s="8">
        <v>14</v>
      </c>
      <c r="B118" s="6"/>
      <c r="C118" s="11"/>
      <c r="D118" s="21"/>
      <c r="E118" s="51"/>
      <c r="F118" s="52"/>
      <c r="G118" s="59"/>
      <c r="H118" s="6"/>
      <c r="I118" s="21"/>
      <c r="J118" s="28">
        <f t="shared" si="13"/>
        <v>0</v>
      </c>
      <c r="K118" s="450"/>
    </row>
    <row r="119" spans="1:11" hidden="1">
      <c r="A119" s="8">
        <v>15</v>
      </c>
      <c r="B119" s="6"/>
      <c r="C119" s="11"/>
      <c r="D119" s="21"/>
      <c r="E119" s="51"/>
      <c r="F119" s="52"/>
      <c r="G119" s="59"/>
      <c r="H119" s="6"/>
      <c r="I119" s="21"/>
      <c r="J119" s="28">
        <f t="shared" si="13"/>
        <v>0</v>
      </c>
      <c r="K119" s="450"/>
    </row>
    <row r="120" spans="1:11" hidden="1">
      <c r="A120" s="8">
        <v>16</v>
      </c>
      <c r="B120" s="6"/>
      <c r="C120" s="11"/>
      <c r="D120" s="21"/>
      <c r="E120" s="51"/>
      <c r="F120" s="52"/>
      <c r="G120" s="59"/>
      <c r="H120" s="6"/>
      <c r="I120" s="21"/>
      <c r="J120" s="28">
        <f t="shared" si="13"/>
        <v>0</v>
      </c>
      <c r="K120" s="451"/>
    </row>
    <row r="121" spans="1:11">
      <c r="A121" s="430" t="s">
        <v>26</v>
      </c>
      <c r="B121" s="431"/>
      <c r="C121" s="431"/>
      <c r="D121" s="431"/>
      <c r="E121" s="431"/>
      <c r="F121" s="431"/>
      <c r="G121" s="431"/>
      <c r="H121" s="431"/>
      <c r="I121" s="432"/>
      <c r="J121" s="30">
        <f>SUM(J105:J120)</f>
        <v>650</v>
      </c>
      <c r="K121" s="8"/>
    </row>
    <row r="122" spans="1:11" ht="15" customHeight="1">
      <c r="A122" s="443" t="s">
        <v>103</v>
      </c>
      <c r="B122" s="444"/>
      <c r="C122" s="444"/>
      <c r="D122" s="444"/>
      <c r="E122" s="444"/>
      <c r="F122" s="444"/>
      <c r="G122" s="444"/>
      <c r="H122" s="444"/>
      <c r="I122" s="445"/>
      <c r="J122" s="35">
        <f>J68+J77+J82+J88+J92+J103+J121</f>
        <v>96719</v>
      </c>
      <c r="K122" s="7"/>
    </row>
    <row r="123" spans="1:11" ht="15" customHeight="1">
      <c r="A123" s="443" t="s">
        <v>104</v>
      </c>
      <c r="B123" s="444"/>
      <c r="C123" s="444"/>
      <c r="D123" s="444"/>
      <c r="E123" s="444"/>
      <c r="F123" s="444"/>
      <c r="G123" s="444"/>
      <c r="H123" s="444"/>
      <c r="I123" s="445"/>
      <c r="J123" s="35">
        <f>J122+J60</f>
        <v>154659</v>
      </c>
    </row>
    <row r="124" spans="1:11">
      <c r="J124" s="62">
        <f>J123*4</f>
        <v>618636</v>
      </c>
    </row>
    <row r="125" spans="1:11">
      <c r="J125" s="62">
        <v>37320553.829999998</v>
      </c>
    </row>
    <row r="126" spans="1:11">
      <c r="J126" s="69">
        <f>J124-J125</f>
        <v>-36701917.829999998</v>
      </c>
    </row>
  </sheetData>
  <mergeCells count="66">
    <mergeCell ref="B1:K1"/>
    <mergeCell ref="A123:I123"/>
    <mergeCell ref="A93:K93"/>
    <mergeCell ref="A104:K104"/>
    <mergeCell ref="K105:K120"/>
    <mergeCell ref="A121:I121"/>
    <mergeCell ref="A122:I122"/>
    <mergeCell ref="A60:I60"/>
    <mergeCell ref="A63:K63"/>
    <mergeCell ref="K64:K68"/>
    <mergeCell ref="A68:I68"/>
    <mergeCell ref="K94:K103"/>
    <mergeCell ref="A103:I103"/>
    <mergeCell ref="K70:K76"/>
    <mergeCell ref="A77:I77"/>
    <mergeCell ref="A78:K78"/>
    <mergeCell ref="A82:I82"/>
    <mergeCell ref="A83:K83"/>
    <mergeCell ref="K84:K87"/>
    <mergeCell ref="A88:I88"/>
    <mergeCell ref="A89:K89"/>
    <mergeCell ref="K90:K91"/>
    <mergeCell ref="A92:I92"/>
    <mergeCell ref="C34:D34"/>
    <mergeCell ref="C35:D35"/>
    <mergeCell ref="C36:D36"/>
    <mergeCell ref="C37:D37"/>
    <mergeCell ref="A69:K69"/>
    <mergeCell ref="C40:D40"/>
    <mergeCell ref="C41:D41"/>
    <mergeCell ref="A42:K42"/>
    <mergeCell ref="C43:D43"/>
    <mergeCell ref="K43:K59"/>
    <mergeCell ref="C44:D44"/>
    <mergeCell ref="C45:D45"/>
    <mergeCell ref="C46:D46"/>
    <mergeCell ref="C47:D47"/>
    <mergeCell ref="C48:D48"/>
    <mergeCell ref="A59:I59"/>
    <mergeCell ref="C31:D31"/>
    <mergeCell ref="K20:K38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A38:I38"/>
    <mergeCell ref="C32:D32"/>
    <mergeCell ref="C33:D33"/>
    <mergeCell ref="A19:K19"/>
    <mergeCell ref="C5:D5"/>
    <mergeCell ref="C6:D6"/>
    <mergeCell ref="A7:K7"/>
    <mergeCell ref="C8:D8"/>
    <mergeCell ref="C9:D9"/>
    <mergeCell ref="C10:D10"/>
    <mergeCell ref="C11:D11"/>
    <mergeCell ref="A15:I15"/>
    <mergeCell ref="C17:D17"/>
    <mergeCell ref="C18:D18"/>
  </mergeCells>
  <pageMargins left="0.70866141732283472" right="0.70866141732283472" top="0.74803149606299213" bottom="0.74803149606299213" header="0" footer="0"/>
  <pageSetup paperSize="9" scale="46" fitToHeight="2" orientation="portrait" blackAndWhite="1" r:id="rId1"/>
  <rowBreaks count="1" manualBreakCount="1">
    <brk id="75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O169"/>
  <sheetViews>
    <sheetView view="pageBreakPreview" topLeftCell="Q1" zoomScale="71" zoomScaleNormal="80" zoomScaleSheetLayoutView="71" zoomScalePageLayoutView="85" workbookViewId="0">
      <pane ySplit="5" topLeftCell="A131" activePane="bottomLeft" state="frozen"/>
      <selection pane="bottomLeft" activeCell="Y99" sqref="Y99"/>
    </sheetView>
  </sheetViews>
  <sheetFormatPr defaultColWidth="8.85546875" defaultRowHeight="15" outlineLevelRow="2"/>
  <cols>
    <col min="1" max="1" width="4.7109375" style="195" customWidth="1"/>
    <col min="2" max="2" width="31.7109375" style="14" customWidth="1"/>
    <col min="3" max="3" width="11.5703125" style="14" customWidth="1"/>
    <col min="4" max="4" width="16.7109375" style="14" customWidth="1"/>
    <col min="5" max="5" width="14" style="14" customWidth="1"/>
    <col min="6" max="6" width="14.85546875" style="55" customWidth="1"/>
    <col min="7" max="7" width="16" style="14" customWidth="1"/>
    <col min="8" max="8" width="15.7109375" style="134" customWidth="1"/>
    <col min="9" max="9" width="12.140625" style="134" customWidth="1"/>
    <col min="10" max="10" width="19.28515625" style="14" customWidth="1"/>
    <col min="11" max="11" width="7" style="14" hidden="1" customWidth="1"/>
    <col min="12" max="12" width="28.5703125" style="14" customWidth="1"/>
    <col min="13" max="13" width="4.7109375" style="195" customWidth="1"/>
    <col min="14" max="14" width="31.7109375" style="14" customWidth="1"/>
    <col min="15" max="15" width="11.5703125" style="14" customWidth="1"/>
    <col min="16" max="16" width="18.7109375" style="14" customWidth="1"/>
    <col min="17" max="17" width="14" style="14" customWidth="1"/>
    <col min="18" max="18" width="14.85546875" style="55" customWidth="1"/>
    <col min="19" max="19" width="16" style="14" customWidth="1"/>
    <col min="20" max="20" width="15.7109375" style="134" customWidth="1"/>
    <col min="21" max="21" width="12.140625" style="134" customWidth="1"/>
    <col min="22" max="22" width="19.5703125" style="14" bestFit="1" customWidth="1"/>
    <col min="23" max="23" width="23.85546875" style="14" customWidth="1"/>
    <col min="24" max="24" width="4.7109375" style="195" customWidth="1"/>
    <col min="25" max="25" width="31.7109375" style="14" customWidth="1"/>
    <col min="26" max="26" width="11.5703125" style="14" customWidth="1"/>
    <col min="27" max="27" width="11.5703125" style="314" customWidth="1"/>
    <col min="28" max="28" width="14" style="14" customWidth="1"/>
    <col min="29" max="29" width="14.85546875" style="55" customWidth="1"/>
    <col min="30" max="30" width="16" style="14" customWidth="1"/>
    <col min="31" max="31" width="15.7109375" style="134" customWidth="1"/>
    <col min="32" max="32" width="12.140625" style="134" customWidth="1"/>
    <col min="33" max="33" width="19.5703125" style="14" bestFit="1" customWidth="1"/>
    <col min="34" max="34" width="23.85546875" style="14" customWidth="1"/>
    <col min="35" max="35" width="15.7109375" style="14" customWidth="1"/>
    <col min="36" max="36" width="17.28515625" style="14" customWidth="1"/>
    <col min="37" max="37" width="19.5703125" style="134" customWidth="1"/>
    <col min="38" max="38" width="17.7109375" style="134" customWidth="1"/>
    <col min="39" max="39" width="22.42578125" style="14" customWidth="1"/>
    <col min="40" max="40" width="19.7109375" style="14" customWidth="1"/>
    <col min="41" max="41" width="12.42578125" style="14" bestFit="1" customWidth="1"/>
    <col min="42" max="16384" width="8.85546875" style="14"/>
  </cols>
  <sheetData>
    <row r="1" spans="1:39" s="85" customFormat="1" ht="19.5" customHeight="1">
      <c r="A1" s="189"/>
      <c r="B1" s="463" t="s">
        <v>209</v>
      </c>
      <c r="C1" s="463"/>
      <c r="D1" s="463"/>
      <c r="E1" s="463"/>
      <c r="F1" s="463"/>
      <c r="G1" s="463"/>
      <c r="H1" s="463"/>
      <c r="I1" s="463"/>
      <c r="J1" s="463"/>
      <c r="K1" s="463"/>
      <c r="L1" s="463"/>
      <c r="M1" s="189"/>
      <c r="T1" s="271"/>
      <c r="U1" s="271"/>
      <c r="X1" s="189"/>
      <c r="AA1" s="303"/>
      <c r="AE1" s="271"/>
      <c r="AF1" s="271"/>
      <c r="AK1" s="271"/>
      <c r="AL1" s="271"/>
    </row>
    <row r="2" spans="1:39" s="85" customFormat="1" ht="19.5" customHeight="1">
      <c r="A2" s="189"/>
      <c r="B2" s="86" t="s">
        <v>208</v>
      </c>
      <c r="H2" s="271"/>
      <c r="I2" s="271"/>
      <c r="M2" s="189"/>
      <c r="N2" s="86" t="s">
        <v>210</v>
      </c>
      <c r="O2" s="86"/>
      <c r="P2" s="86"/>
      <c r="Q2" s="86"/>
      <c r="R2" s="86"/>
      <c r="S2" s="86"/>
      <c r="T2" s="295"/>
      <c r="U2" s="271"/>
      <c r="X2" s="189"/>
      <c r="Y2" s="86" t="s">
        <v>217</v>
      </c>
      <c r="Z2" s="86"/>
      <c r="AA2" s="304"/>
      <c r="AB2" s="86"/>
      <c r="AC2" s="86"/>
      <c r="AD2" s="86"/>
      <c r="AE2" s="295"/>
      <c r="AF2" s="271"/>
      <c r="AK2" s="271"/>
      <c r="AL2" s="271"/>
    </row>
    <row r="3" spans="1:39" s="85" customFormat="1" ht="19.5" customHeight="1">
      <c r="A3" s="189"/>
      <c r="B3" s="86" t="s">
        <v>236</v>
      </c>
      <c r="C3" s="85">
        <v>172475</v>
      </c>
      <c r="H3" s="271"/>
      <c r="I3" s="271"/>
      <c r="M3" s="189"/>
      <c r="N3" s="86" t="s">
        <v>237</v>
      </c>
      <c r="O3" s="86">
        <v>61530</v>
      </c>
      <c r="P3" s="86"/>
      <c r="Q3" s="86"/>
      <c r="R3" s="86"/>
      <c r="S3" s="86"/>
      <c r="T3" s="295"/>
      <c r="U3" s="271"/>
      <c r="X3" s="189"/>
      <c r="Y3" s="86" t="s">
        <v>238</v>
      </c>
      <c r="Z3" s="86">
        <v>14</v>
      </c>
      <c r="AA3" s="304"/>
      <c r="AB3" s="86"/>
      <c r="AC3" s="86"/>
      <c r="AD3" s="86"/>
      <c r="AE3" s="295"/>
      <c r="AF3" s="271"/>
      <c r="AK3" s="271"/>
      <c r="AL3" s="271"/>
    </row>
    <row r="4" spans="1:39" s="85" customFormat="1">
      <c r="A4" s="189"/>
      <c r="H4" s="271"/>
      <c r="I4" s="271"/>
      <c r="L4" s="271">
        <f>AM16</f>
        <v>0</v>
      </c>
      <c r="M4" s="189"/>
      <c r="T4" s="271"/>
      <c r="U4" s="271"/>
      <c r="V4" s="262"/>
      <c r="X4" s="189"/>
      <c r="AA4" s="303"/>
      <c r="AB4" s="85" t="s">
        <v>218</v>
      </c>
      <c r="AE4" s="271"/>
      <c r="AF4" s="271"/>
      <c r="AK4" s="271"/>
      <c r="AL4" s="271"/>
    </row>
    <row r="5" spans="1:39" ht="90" customHeight="1">
      <c r="A5" s="31" t="s">
        <v>1</v>
      </c>
      <c r="B5" s="31" t="s">
        <v>4</v>
      </c>
      <c r="C5" s="414" t="s">
        <v>95</v>
      </c>
      <c r="D5" s="415"/>
      <c r="E5" s="31" t="s">
        <v>52</v>
      </c>
      <c r="F5" s="31" t="s">
        <v>2</v>
      </c>
      <c r="G5" s="31" t="s">
        <v>72</v>
      </c>
      <c r="H5" s="327"/>
      <c r="I5" s="327" t="s">
        <v>94</v>
      </c>
      <c r="J5" s="31" t="s">
        <v>5</v>
      </c>
      <c r="K5" s="127"/>
      <c r="L5" s="31" t="s">
        <v>0</v>
      </c>
      <c r="M5" s="31" t="s">
        <v>1</v>
      </c>
      <c r="N5" s="31" t="s">
        <v>4</v>
      </c>
      <c r="O5" s="414" t="s">
        <v>95</v>
      </c>
      <c r="P5" s="415"/>
      <c r="Q5" s="31" t="s">
        <v>52</v>
      </c>
      <c r="R5" s="31" t="s">
        <v>2</v>
      </c>
      <c r="S5" s="31" t="s">
        <v>72</v>
      </c>
      <c r="T5" s="327"/>
      <c r="U5" s="327" t="s">
        <v>94</v>
      </c>
      <c r="V5" s="31" t="s">
        <v>5</v>
      </c>
      <c r="W5" s="31" t="s">
        <v>0</v>
      </c>
      <c r="X5" s="31" t="s">
        <v>1</v>
      </c>
      <c r="Y5" s="31" t="s">
        <v>4</v>
      </c>
      <c r="Z5" s="414" t="s">
        <v>95</v>
      </c>
      <c r="AA5" s="415"/>
      <c r="AB5" s="31" t="s">
        <v>52</v>
      </c>
      <c r="AC5" s="31" t="s">
        <v>2</v>
      </c>
      <c r="AD5" s="31" t="s">
        <v>72</v>
      </c>
      <c r="AE5" s="327"/>
      <c r="AF5" s="327" t="s">
        <v>94</v>
      </c>
      <c r="AG5" s="31" t="s">
        <v>5</v>
      </c>
      <c r="AH5" s="31" t="s">
        <v>0</v>
      </c>
      <c r="AI5" s="275"/>
    </row>
    <row r="6" spans="1:39">
      <c r="A6" s="31">
        <v>1</v>
      </c>
      <c r="B6" s="31">
        <v>2</v>
      </c>
      <c r="C6" s="414"/>
      <c r="D6" s="415"/>
      <c r="E6" s="31">
        <v>3</v>
      </c>
      <c r="F6" s="31">
        <v>4</v>
      </c>
      <c r="G6" s="31" t="s">
        <v>71</v>
      </c>
      <c r="H6" s="327"/>
      <c r="I6" s="327">
        <v>6</v>
      </c>
      <c r="J6" s="31" t="s">
        <v>51</v>
      </c>
      <c r="K6" s="127"/>
      <c r="L6" s="31">
        <v>8</v>
      </c>
      <c r="M6" s="31">
        <v>1</v>
      </c>
      <c r="N6" s="31">
        <v>2</v>
      </c>
      <c r="O6" s="414"/>
      <c r="P6" s="415"/>
      <c r="Q6" s="31">
        <v>3</v>
      </c>
      <c r="R6" s="31">
        <v>4</v>
      </c>
      <c r="S6" s="31" t="s">
        <v>71</v>
      </c>
      <c r="T6" s="327"/>
      <c r="U6" s="327">
        <v>6</v>
      </c>
      <c r="V6" s="31" t="s">
        <v>51</v>
      </c>
      <c r="W6" s="31">
        <v>8</v>
      </c>
      <c r="X6" s="31">
        <v>1</v>
      </c>
      <c r="Y6" s="31">
        <v>2</v>
      </c>
      <c r="Z6" s="414"/>
      <c r="AA6" s="415"/>
      <c r="AB6" s="31">
        <v>3</v>
      </c>
      <c r="AC6" s="31">
        <v>4</v>
      </c>
      <c r="AD6" s="31" t="s">
        <v>71</v>
      </c>
      <c r="AE6" s="327"/>
      <c r="AF6" s="327">
        <v>6</v>
      </c>
      <c r="AG6" s="31" t="s">
        <v>51</v>
      </c>
      <c r="AH6" s="31">
        <v>8</v>
      </c>
      <c r="AI6" s="275"/>
    </row>
    <row r="7" spans="1:39">
      <c r="A7" s="416" t="s">
        <v>7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3"/>
      <c r="M7" s="416" t="s">
        <v>7</v>
      </c>
      <c r="N7" s="412"/>
      <c r="O7" s="412"/>
      <c r="P7" s="412"/>
      <c r="Q7" s="412"/>
      <c r="R7" s="412"/>
      <c r="S7" s="412"/>
      <c r="T7" s="412"/>
      <c r="U7" s="412"/>
      <c r="V7" s="412"/>
      <c r="W7" s="413"/>
      <c r="X7" s="416" t="s">
        <v>7</v>
      </c>
      <c r="Y7" s="412"/>
      <c r="Z7" s="412"/>
      <c r="AA7" s="412"/>
      <c r="AB7" s="412"/>
      <c r="AC7" s="412"/>
      <c r="AD7" s="412"/>
      <c r="AE7" s="412"/>
      <c r="AF7" s="412"/>
      <c r="AG7" s="412"/>
      <c r="AH7" s="413"/>
      <c r="AI7" s="276"/>
    </row>
    <row r="8" spans="1:39" ht="24" customHeight="1" outlineLevel="1">
      <c r="A8" s="27">
        <v>1</v>
      </c>
      <c r="B8" s="206" t="s">
        <v>204</v>
      </c>
      <c r="C8" s="479">
        <f>29.45/234005*F8</f>
        <v>21.706325719535904</v>
      </c>
      <c r="D8" s="480"/>
      <c r="E8" s="163">
        <f>C8*1774.4</f>
        <v>38515.704356744507</v>
      </c>
      <c r="F8" s="163">
        <f>C3</f>
        <v>172475</v>
      </c>
      <c r="G8" s="203">
        <f>E8/F8</f>
        <v>0.2233118095767184</v>
      </c>
      <c r="H8" s="328"/>
      <c r="I8" s="328">
        <f>U8</f>
        <v>366.63985318584184</v>
      </c>
      <c r="J8" s="207">
        <f>IFERROR(G8*I8,0)</f>
        <v>81.875009077872704</v>
      </c>
      <c r="K8" s="172"/>
      <c r="L8" s="494" t="s">
        <v>203</v>
      </c>
      <c r="M8" s="27">
        <v>1</v>
      </c>
      <c r="N8" s="17" t="s">
        <v>204</v>
      </c>
      <c r="O8" s="479">
        <f>29.45/234005*R8</f>
        <v>7.7436742804640915</v>
      </c>
      <c r="P8" s="480"/>
      <c r="Q8" s="163">
        <f>O8*1774.4</f>
        <v>13740.375643255484</v>
      </c>
      <c r="R8" s="163">
        <f>O3</f>
        <v>61530</v>
      </c>
      <c r="S8" s="203">
        <f>Q8/R8</f>
        <v>0.22331180957671842</v>
      </c>
      <c r="T8" s="328"/>
      <c r="U8" s="328">
        <f>AF8</f>
        <v>366.63985318584184</v>
      </c>
      <c r="V8" s="34">
        <f t="shared" ref="V8:V14" si="0">IFERROR(S8*U8,0)</f>
        <v>81.875009077872718</v>
      </c>
      <c r="W8" s="494" t="s">
        <v>202</v>
      </c>
      <c r="X8" s="27">
        <v>1</v>
      </c>
      <c r="Y8" s="17" t="s">
        <v>215</v>
      </c>
      <c r="Z8" s="479">
        <v>0.37</v>
      </c>
      <c r="AA8" s="480"/>
      <c r="AB8" s="163">
        <f>Z8*1774.4</f>
        <v>656.52800000000002</v>
      </c>
      <c r="AC8" s="163">
        <f>Z3</f>
        <v>14</v>
      </c>
      <c r="AD8" s="203">
        <f>AB8/AC8</f>
        <v>46.894857142857141</v>
      </c>
      <c r="AE8" s="328"/>
      <c r="AF8" s="328">
        <f>(1241671.2)/29.82*1.302/1774.4*12</f>
        <v>366.63985318584184</v>
      </c>
      <c r="AG8" s="34">
        <f>IFERROR(AD8*AF8,0)</f>
        <v>17193.52353802817</v>
      </c>
      <c r="AH8" s="494" t="s">
        <v>202</v>
      </c>
      <c r="AI8" s="277">
        <f>29.45+0.37</f>
        <v>29.82</v>
      </c>
      <c r="AJ8" s="69">
        <f>C8+O8+Z8</f>
        <v>29.819999999999997</v>
      </c>
      <c r="AK8" s="376">
        <f>F8*J8+R8*V8+AG8*AC8</f>
        <v>19399870.8288</v>
      </c>
      <c r="AM8" s="358"/>
    </row>
    <row r="9" spans="1:39" ht="17.25" customHeight="1" outlineLevel="1">
      <c r="A9" s="27">
        <v>2</v>
      </c>
      <c r="B9" s="206" t="s">
        <v>92</v>
      </c>
      <c r="C9" s="479">
        <f>2/234005*F9</f>
        <v>1.4741138009871584</v>
      </c>
      <c r="D9" s="480"/>
      <c r="E9" s="163">
        <f>C9*1774.4</f>
        <v>2615.6675284716139</v>
      </c>
      <c r="F9" s="163">
        <f>F8</f>
        <v>172475</v>
      </c>
      <c r="G9" s="203">
        <f t="shared" ref="G9:G11" si="1">E9/F9</f>
        <v>1.5165487916924852E-2</v>
      </c>
      <c r="H9" s="328"/>
      <c r="I9" s="328">
        <f t="shared" ref="I9" si="2">U9</f>
        <v>330.19612263300269</v>
      </c>
      <c r="J9" s="207">
        <f t="shared" ref="J9:J14" si="3">IFERROR(G9*I9,0)</f>
        <v>5.0075853080062389</v>
      </c>
      <c r="K9" s="172"/>
      <c r="L9" s="458"/>
      <c r="M9" s="27">
        <v>2</v>
      </c>
      <c r="N9" s="17" t="s">
        <v>92</v>
      </c>
      <c r="O9" s="479">
        <f>2/234005*R9</f>
        <v>0.52588619901284162</v>
      </c>
      <c r="P9" s="480"/>
      <c r="Q9" s="163">
        <f>O9*1774.4</f>
        <v>933.13247152838619</v>
      </c>
      <c r="R9" s="163">
        <f>R8</f>
        <v>61530</v>
      </c>
      <c r="S9" s="203">
        <f t="shared" ref="S9:S12" si="4">Q9/R9</f>
        <v>1.5165487916924852E-2</v>
      </c>
      <c r="T9" s="328"/>
      <c r="U9" s="328">
        <f t="shared" ref="U9:U10" si="5">AF9</f>
        <v>330.19612263300269</v>
      </c>
      <c r="V9" s="34">
        <f t="shared" si="0"/>
        <v>5.0075853080062389</v>
      </c>
      <c r="W9" s="458"/>
      <c r="X9" s="27">
        <v>2</v>
      </c>
      <c r="Y9" s="17" t="s">
        <v>92</v>
      </c>
      <c r="Z9" s="479">
        <v>0</v>
      </c>
      <c r="AA9" s="480"/>
      <c r="AB9" s="163">
        <f>Z9*1774.4</f>
        <v>0</v>
      </c>
      <c r="AC9" s="163">
        <f>AC8</f>
        <v>14</v>
      </c>
      <c r="AD9" s="203">
        <f t="shared" ref="AD9:AD12" si="6">AB9/AC9</f>
        <v>0</v>
      </c>
      <c r="AE9" s="328"/>
      <c r="AF9" s="328">
        <f>(75000)/2*1.302/1774.4*12</f>
        <v>330.19612263300269</v>
      </c>
      <c r="AG9" s="34">
        <f t="shared" ref="AG9:AG14" si="7">IFERROR(AD9*AF9,0)</f>
        <v>0</v>
      </c>
      <c r="AH9" s="458"/>
      <c r="AI9" s="277">
        <v>2</v>
      </c>
      <c r="AJ9" s="69">
        <f t="shared" ref="AJ9:AJ10" si="8">C9+O9+Z9</f>
        <v>2</v>
      </c>
      <c r="AK9" s="376">
        <f t="shared" ref="AK9:AK10" si="9">F9*J9+R9*V9+AG9*AC9</f>
        <v>1171800</v>
      </c>
      <c r="AM9" s="70"/>
    </row>
    <row r="10" spans="1:39" ht="15.75" customHeight="1" outlineLevel="1" thickBot="1">
      <c r="A10" s="27">
        <v>3</v>
      </c>
      <c r="B10" s="206" t="s">
        <v>118</v>
      </c>
      <c r="C10" s="479"/>
      <c r="D10" s="480"/>
      <c r="E10" s="163">
        <f>C10*1776.4</f>
        <v>0</v>
      </c>
      <c r="F10" s="163">
        <f>F8</f>
        <v>172475</v>
      </c>
      <c r="G10" s="203">
        <f t="shared" si="1"/>
        <v>0</v>
      </c>
      <c r="H10" s="328"/>
      <c r="I10" s="328">
        <f>U10</f>
        <v>0</v>
      </c>
      <c r="J10" s="207">
        <f t="shared" si="3"/>
        <v>0</v>
      </c>
      <c r="K10" s="172"/>
      <c r="L10" s="459"/>
      <c r="M10" s="27">
        <v>3</v>
      </c>
      <c r="N10" s="17" t="s">
        <v>118</v>
      </c>
      <c r="O10" s="479"/>
      <c r="P10" s="480"/>
      <c r="Q10" s="163">
        <f>O10*1776.4</f>
        <v>0</v>
      </c>
      <c r="R10" s="163">
        <f>R8</f>
        <v>61530</v>
      </c>
      <c r="S10" s="203">
        <f t="shared" si="4"/>
        <v>0</v>
      </c>
      <c r="T10" s="328"/>
      <c r="U10" s="328">
        <f t="shared" si="5"/>
        <v>0</v>
      </c>
      <c r="V10" s="34">
        <f t="shared" si="0"/>
        <v>0</v>
      </c>
      <c r="W10" s="459"/>
      <c r="X10" s="27">
        <v>3</v>
      </c>
      <c r="Y10" s="17" t="s">
        <v>118</v>
      </c>
      <c r="Z10" s="479"/>
      <c r="AA10" s="480"/>
      <c r="AB10" s="163">
        <f>Z10*1776.4</f>
        <v>0</v>
      </c>
      <c r="AC10" s="163">
        <f>AC8</f>
        <v>14</v>
      </c>
      <c r="AD10" s="203">
        <f t="shared" si="6"/>
        <v>0</v>
      </c>
      <c r="AE10" s="328"/>
      <c r="AF10" s="328">
        <v>0</v>
      </c>
      <c r="AG10" s="34">
        <f t="shared" si="7"/>
        <v>0</v>
      </c>
      <c r="AH10" s="459"/>
      <c r="AI10" s="277">
        <v>0</v>
      </c>
      <c r="AJ10" s="69">
        <f t="shared" si="8"/>
        <v>0</v>
      </c>
      <c r="AK10" s="376">
        <f t="shared" si="9"/>
        <v>0</v>
      </c>
    </row>
    <row r="11" spans="1:39" ht="15" hidden="1" customHeight="1" outlineLevel="1">
      <c r="A11" s="27"/>
      <c r="B11" s="17"/>
      <c r="C11" s="410"/>
      <c r="D11" s="411"/>
      <c r="E11" s="8">
        <f>C11*1776.4</f>
        <v>0</v>
      </c>
      <c r="F11" s="8">
        <f>F8</f>
        <v>172475</v>
      </c>
      <c r="G11" s="68">
        <f t="shared" si="1"/>
        <v>0</v>
      </c>
      <c r="H11" s="329"/>
      <c r="I11" s="331"/>
      <c r="J11" s="208">
        <f t="shared" si="3"/>
        <v>0</v>
      </c>
      <c r="K11" s="172"/>
      <c r="L11" s="205"/>
      <c r="M11" s="27"/>
      <c r="N11" s="17"/>
      <c r="O11" s="410"/>
      <c r="P11" s="411"/>
      <c r="Q11" s="8">
        <f>O11*1776.4</f>
        <v>0</v>
      </c>
      <c r="R11" s="8">
        <f>R8</f>
        <v>61530</v>
      </c>
      <c r="S11" s="68">
        <f t="shared" si="4"/>
        <v>0</v>
      </c>
      <c r="T11" s="329"/>
      <c r="U11" s="331"/>
      <c r="V11" s="34">
        <f t="shared" si="0"/>
        <v>0</v>
      </c>
      <c r="W11" s="205"/>
      <c r="X11" s="27"/>
      <c r="Y11" s="17"/>
      <c r="Z11" s="410"/>
      <c r="AA11" s="411"/>
      <c r="AB11" s="8">
        <f>Z11*1776.4</f>
        <v>0</v>
      </c>
      <c r="AC11" s="8">
        <f>AC8</f>
        <v>14</v>
      </c>
      <c r="AD11" s="68">
        <f t="shared" si="6"/>
        <v>0</v>
      </c>
      <c r="AE11" s="329"/>
      <c r="AF11" s="331"/>
      <c r="AG11" s="34">
        <f t="shared" si="7"/>
        <v>0</v>
      </c>
      <c r="AH11" s="205"/>
      <c r="AI11" s="278"/>
    </row>
    <row r="12" spans="1:39" ht="15" hidden="1" customHeight="1" outlineLevel="1">
      <c r="A12" s="27"/>
      <c r="B12" s="17"/>
      <c r="C12" s="410"/>
      <c r="D12" s="411"/>
      <c r="E12" s="8">
        <f>C12*1776.4</f>
        <v>0</v>
      </c>
      <c r="F12" s="8">
        <f>F8</f>
        <v>172475</v>
      </c>
      <c r="G12" s="68">
        <f t="shared" ref="G12" si="10">E12/F12</f>
        <v>0</v>
      </c>
      <c r="H12" s="329"/>
      <c r="I12" s="331"/>
      <c r="J12" s="208">
        <f t="shared" si="3"/>
        <v>0</v>
      </c>
      <c r="K12" s="172"/>
      <c r="L12" s="205"/>
      <c r="M12" s="27"/>
      <c r="N12" s="17"/>
      <c r="O12" s="410"/>
      <c r="P12" s="411"/>
      <c r="Q12" s="8">
        <f>O12*1776.4</f>
        <v>0</v>
      </c>
      <c r="R12" s="8">
        <f>R8</f>
        <v>61530</v>
      </c>
      <c r="S12" s="68">
        <f t="shared" si="4"/>
        <v>0</v>
      </c>
      <c r="T12" s="329"/>
      <c r="U12" s="331"/>
      <c r="V12" s="34">
        <f t="shared" si="0"/>
        <v>0</v>
      </c>
      <c r="W12" s="205"/>
      <c r="X12" s="27"/>
      <c r="Y12" s="17"/>
      <c r="Z12" s="410"/>
      <c r="AA12" s="411"/>
      <c r="AB12" s="8">
        <f>Z12*1776.4</f>
        <v>0</v>
      </c>
      <c r="AC12" s="8">
        <f>AC8</f>
        <v>14</v>
      </c>
      <c r="AD12" s="68">
        <f t="shared" si="6"/>
        <v>0</v>
      </c>
      <c r="AE12" s="329"/>
      <c r="AF12" s="331"/>
      <c r="AG12" s="34">
        <f t="shared" si="7"/>
        <v>0</v>
      </c>
      <c r="AH12" s="205"/>
      <c r="AI12" s="278"/>
    </row>
    <row r="13" spans="1:39" ht="15" hidden="1" customHeight="1" outlineLevel="1">
      <c r="A13" s="27">
        <v>6</v>
      </c>
      <c r="B13" s="32"/>
      <c r="C13" s="78"/>
      <c r="D13" s="32"/>
      <c r="E13" s="8"/>
      <c r="F13" s="8"/>
      <c r="G13" s="68"/>
      <c r="H13" s="329"/>
      <c r="I13" s="331"/>
      <c r="J13" s="208">
        <f t="shared" si="3"/>
        <v>0</v>
      </c>
      <c r="K13" s="172"/>
      <c r="L13" s="205"/>
      <c r="M13" s="27">
        <v>6</v>
      </c>
      <c r="N13" s="32"/>
      <c r="O13" s="78"/>
      <c r="P13" s="32"/>
      <c r="Q13" s="8"/>
      <c r="R13" s="8"/>
      <c r="S13" s="68"/>
      <c r="T13" s="329"/>
      <c r="U13" s="331"/>
      <c r="V13" s="34">
        <f t="shared" si="0"/>
        <v>0</v>
      </c>
      <c r="W13" s="205"/>
      <c r="X13" s="27">
        <v>6</v>
      </c>
      <c r="Y13" s="32"/>
      <c r="Z13" s="78"/>
      <c r="AA13" s="305"/>
      <c r="AB13" s="8"/>
      <c r="AC13" s="8"/>
      <c r="AD13" s="68"/>
      <c r="AE13" s="329"/>
      <c r="AF13" s="331"/>
      <c r="AG13" s="34">
        <f t="shared" si="7"/>
        <v>0</v>
      </c>
      <c r="AH13" s="205"/>
      <c r="AI13" s="278"/>
    </row>
    <row r="14" spans="1:39" ht="15" hidden="1" customHeight="1" outlineLevel="1">
      <c r="A14" s="27">
        <v>7</v>
      </c>
      <c r="B14" s="17"/>
      <c r="C14" s="77"/>
      <c r="D14" s="17"/>
      <c r="E14" s="8"/>
      <c r="F14" s="8"/>
      <c r="G14" s="68" t="e">
        <f t="shared" ref="G14" si="11">E14/F14</f>
        <v>#DIV/0!</v>
      </c>
      <c r="H14" s="329"/>
      <c r="I14" s="331"/>
      <c r="J14" s="208">
        <f t="shared" si="3"/>
        <v>0</v>
      </c>
      <c r="K14" s="172"/>
      <c r="L14" s="205"/>
      <c r="M14" s="27">
        <v>7</v>
      </c>
      <c r="N14" s="17"/>
      <c r="O14" s="77"/>
      <c r="P14" s="17"/>
      <c r="Q14" s="8"/>
      <c r="R14" s="8"/>
      <c r="S14" s="68" t="e">
        <f t="shared" ref="S14" si="12">Q14/R14</f>
        <v>#DIV/0!</v>
      </c>
      <c r="T14" s="329"/>
      <c r="U14" s="331"/>
      <c r="V14" s="34">
        <f t="shared" si="0"/>
        <v>0</v>
      </c>
      <c r="W14" s="205"/>
      <c r="X14" s="27">
        <v>7</v>
      </c>
      <c r="Y14" s="17"/>
      <c r="Z14" s="77"/>
      <c r="AA14" s="306"/>
      <c r="AB14" s="8"/>
      <c r="AC14" s="8"/>
      <c r="AD14" s="68" t="e">
        <f t="shared" ref="AD14" si="13">AB14/AC14</f>
        <v>#DIV/0!</v>
      </c>
      <c r="AE14" s="329"/>
      <c r="AF14" s="331"/>
      <c r="AG14" s="34">
        <f t="shared" si="7"/>
        <v>0</v>
      </c>
      <c r="AH14" s="205"/>
      <c r="AI14" s="278"/>
    </row>
    <row r="15" spans="1:39" ht="18" hidden="1" customHeight="1" outlineLevel="1" thickBot="1">
      <c r="A15" s="27"/>
      <c r="B15" s="17"/>
      <c r="C15" s="77"/>
      <c r="D15" s="17"/>
      <c r="E15" s="9"/>
      <c r="F15" s="8"/>
      <c r="G15" s="15"/>
      <c r="H15" s="329"/>
      <c r="I15" s="331"/>
      <c r="J15" s="208"/>
      <c r="K15" s="172"/>
      <c r="L15" s="205"/>
      <c r="M15" s="27"/>
      <c r="N15" s="17"/>
      <c r="O15" s="77"/>
      <c r="P15" s="17"/>
      <c r="Q15" s="9"/>
      <c r="R15" s="8"/>
      <c r="S15" s="15"/>
      <c r="T15" s="329"/>
      <c r="U15" s="331"/>
      <c r="V15" s="34"/>
      <c r="W15" s="205"/>
      <c r="X15" s="27"/>
      <c r="Y15" s="17"/>
      <c r="Z15" s="77"/>
      <c r="AA15" s="306"/>
      <c r="AB15" s="9"/>
      <c r="AC15" s="8"/>
      <c r="AD15" s="15"/>
      <c r="AE15" s="329"/>
      <c r="AF15" s="331"/>
      <c r="AG15" s="34"/>
      <c r="AH15" s="205"/>
      <c r="AI15" s="278"/>
    </row>
    <row r="16" spans="1:39" ht="15.75" outlineLevel="1" thickBot="1">
      <c r="A16" s="488" t="s">
        <v>40</v>
      </c>
      <c r="B16" s="489"/>
      <c r="C16" s="489"/>
      <c r="D16" s="489"/>
      <c r="E16" s="489"/>
      <c r="F16" s="489"/>
      <c r="G16" s="489"/>
      <c r="H16" s="489"/>
      <c r="I16" s="490"/>
      <c r="J16" s="209">
        <f>SUM(J8:J15)</f>
        <v>86.882594385878946</v>
      </c>
      <c r="K16" s="157"/>
      <c r="L16" s="205"/>
      <c r="M16" s="464" t="s">
        <v>40</v>
      </c>
      <c r="N16" s="465"/>
      <c r="O16" s="465"/>
      <c r="P16" s="465"/>
      <c r="Q16" s="465"/>
      <c r="R16" s="465"/>
      <c r="S16" s="465"/>
      <c r="T16" s="465"/>
      <c r="U16" s="466"/>
      <c r="V16" s="35">
        <f>SUM(V8:V15)</f>
        <v>86.88259438587896</v>
      </c>
      <c r="W16" s="205"/>
      <c r="X16" s="464" t="s">
        <v>40</v>
      </c>
      <c r="Y16" s="465"/>
      <c r="Z16" s="465"/>
      <c r="AA16" s="465"/>
      <c r="AB16" s="465"/>
      <c r="AC16" s="465"/>
      <c r="AD16" s="465"/>
      <c r="AE16" s="465"/>
      <c r="AF16" s="466"/>
      <c r="AG16" s="35">
        <f>SUM(AG8:AG15)</f>
        <v>17193.52353802817</v>
      </c>
      <c r="AH16" s="205"/>
      <c r="AI16" s="278"/>
      <c r="AJ16" s="291">
        <f>V16*R10+J16*F10+AG16*AC10</f>
        <v>20571670.8288</v>
      </c>
      <c r="AK16" s="318">
        <f>SUM(AK8:AK10)</f>
        <v>20571670.8288</v>
      </c>
      <c r="AL16" s="325" t="s">
        <v>178</v>
      </c>
      <c r="AM16" s="357"/>
    </row>
    <row r="17" spans="1:38" s="85" customFormat="1" outlineLevel="1">
      <c r="A17" s="190"/>
      <c r="B17" s="151"/>
      <c r="C17" s="151"/>
      <c r="D17" s="151"/>
      <c r="E17" s="151"/>
      <c r="F17" s="151"/>
      <c r="G17" s="151"/>
      <c r="H17" s="296"/>
      <c r="I17" s="296"/>
      <c r="J17" s="152"/>
      <c r="K17" s="153"/>
      <c r="L17" s="154"/>
      <c r="M17" s="190"/>
      <c r="N17" s="151"/>
      <c r="O17" s="151"/>
      <c r="P17" s="151"/>
      <c r="Q17" s="151"/>
      <c r="R17" s="151"/>
      <c r="S17" s="151"/>
      <c r="T17" s="296"/>
      <c r="U17" s="296"/>
      <c r="V17" s="152"/>
      <c r="W17" s="154"/>
      <c r="X17" s="190"/>
      <c r="Y17" s="151"/>
      <c r="Z17" s="151"/>
      <c r="AA17" s="307"/>
      <c r="AB17" s="151"/>
      <c r="AC17" s="151"/>
      <c r="AD17" s="151"/>
      <c r="AE17" s="296"/>
      <c r="AF17" s="296"/>
      <c r="AG17" s="152"/>
      <c r="AH17" s="154"/>
      <c r="AI17" s="279"/>
      <c r="AJ17" s="290"/>
      <c r="AK17" s="387">
        <f>AM116</f>
        <v>0</v>
      </c>
      <c r="AL17" s="271"/>
    </row>
    <row r="18" spans="1:38" s="37" customFormat="1" ht="68.25" customHeight="1">
      <c r="A18" s="36" t="s">
        <v>1</v>
      </c>
      <c r="B18" s="36" t="s">
        <v>3</v>
      </c>
      <c r="C18" s="420" t="s">
        <v>163</v>
      </c>
      <c r="D18" s="421"/>
      <c r="E18" s="36" t="s">
        <v>56</v>
      </c>
      <c r="F18" s="36" t="s">
        <v>2</v>
      </c>
      <c r="G18" s="31" t="s">
        <v>53</v>
      </c>
      <c r="H18" s="327" t="s">
        <v>67</v>
      </c>
      <c r="I18" s="327" t="s">
        <v>68</v>
      </c>
      <c r="J18" s="31" t="s">
        <v>5</v>
      </c>
      <c r="K18" s="127"/>
      <c r="L18" s="31" t="s">
        <v>0</v>
      </c>
      <c r="M18" s="36" t="s">
        <v>1</v>
      </c>
      <c r="N18" s="36" t="s">
        <v>3</v>
      </c>
      <c r="O18" s="420" t="s">
        <v>163</v>
      </c>
      <c r="P18" s="421"/>
      <c r="Q18" s="36" t="s">
        <v>56</v>
      </c>
      <c r="R18" s="36" t="s">
        <v>2</v>
      </c>
      <c r="S18" s="31" t="s">
        <v>53</v>
      </c>
      <c r="T18" s="327" t="s">
        <v>67</v>
      </c>
      <c r="U18" s="327" t="s">
        <v>68</v>
      </c>
      <c r="V18" s="31" t="s">
        <v>5</v>
      </c>
      <c r="W18" s="31" t="s">
        <v>0</v>
      </c>
      <c r="X18" s="36" t="s">
        <v>1</v>
      </c>
      <c r="Y18" s="36" t="s">
        <v>3</v>
      </c>
      <c r="Z18" s="420" t="s">
        <v>163</v>
      </c>
      <c r="AA18" s="421"/>
      <c r="AB18" s="36" t="s">
        <v>56</v>
      </c>
      <c r="AC18" s="36" t="s">
        <v>2</v>
      </c>
      <c r="AD18" s="31" t="s">
        <v>53</v>
      </c>
      <c r="AE18" s="327" t="s">
        <v>67</v>
      </c>
      <c r="AF18" s="327" t="s">
        <v>68</v>
      </c>
      <c r="AG18" s="31" t="s">
        <v>5</v>
      </c>
      <c r="AH18" s="31" t="s">
        <v>0</v>
      </c>
      <c r="AI18" s="275"/>
      <c r="AK18" s="319"/>
      <c r="AL18" s="319"/>
    </row>
    <row r="19" spans="1:38">
      <c r="A19" s="31">
        <v>1</v>
      </c>
      <c r="B19" s="31">
        <v>2</v>
      </c>
      <c r="C19" s="414"/>
      <c r="D19" s="415"/>
      <c r="E19" s="31">
        <v>3</v>
      </c>
      <c r="F19" s="31">
        <v>4</v>
      </c>
      <c r="G19" s="31" t="s">
        <v>71</v>
      </c>
      <c r="H19" s="327">
        <v>6</v>
      </c>
      <c r="I19" s="327">
        <v>7</v>
      </c>
      <c r="J19" s="31" t="s">
        <v>54</v>
      </c>
      <c r="K19" s="127"/>
      <c r="L19" s="31">
        <v>9</v>
      </c>
      <c r="M19" s="31">
        <v>1</v>
      </c>
      <c r="N19" s="31">
        <v>2</v>
      </c>
      <c r="O19" s="414"/>
      <c r="P19" s="415"/>
      <c r="Q19" s="31">
        <v>3</v>
      </c>
      <c r="R19" s="31">
        <v>4</v>
      </c>
      <c r="S19" s="31" t="s">
        <v>71</v>
      </c>
      <c r="T19" s="327">
        <v>6</v>
      </c>
      <c r="U19" s="327">
        <v>7</v>
      </c>
      <c r="V19" s="31" t="s">
        <v>54</v>
      </c>
      <c r="W19" s="31">
        <v>9</v>
      </c>
      <c r="X19" s="31">
        <v>1</v>
      </c>
      <c r="Y19" s="31">
        <v>2</v>
      </c>
      <c r="Z19" s="414"/>
      <c r="AA19" s="415"/>
      <c r="AB19" s="31">
        <v>3</v>
      </c>
      <c r="AC19" s="31">
        <v>4</v>
      </c>
      <c r="AD19" s="31" t="s">
        <v>71</v>
      </c>
      <c r="AE19" s="327">
        <v>6</v>
      </c>
      <c r="AF19" s="327">
        <v>7</v>
      </c>
      <c r="AG19" s="31" t="s">
        <v>54</v>
      </c>
      <c r="AH19" s="31">
        <v>9</v>
      </c>
      <c r="AI19" s="275"/>
    </row>
    <row r="20" spans="1:38">
      <c r="A20" s="412" t="s">
        <v>6</v>
      </c>
      <c r="B20" s="412"/>
      <c r="C20" s="412"/>
      <c r="D20" s="412"/>
      <c r="E20" s="412"/>
      <c r="F20" s="412"/>
      <c r="G20" s="412"/>
      <c r="H20" s="412"/>
      <c r="I20" s="412"/>
      <c r="J20" s="412"/>
      <c r="K20" s="412"/>
      <c r="L20" s="413"/>
      <c r="M20" s="412" t="s">
        <v>6</v>
      </c>
      <c r="N20" s="412"/>
      <c r="O20" s="412"/>
      <c r="P20" s="412"/>
      <c r="Q20" s="412"/>
      <c r="R20" s="412"/>
      <c r="S20" s="412"/>
      <c r="T20" s="412"/>
      <c r="U20" s="412"/>
      <c r="V20" s="412"/>
      <c r="W20" s="413"/>
      <c r="X20" s="412" t="s">
        <v>6</v>
      </c>
      <c r="Y20" s="412"/>
      <c r="Z20" s="412"/>
      <c r="AA20" s="412"/>
      <c r="AB20" s="412"/>
      <c r="AC20" s="412"/>
      <c r="AD20" s="412"/>
      <c r="AE20" s="412"/>
      <c r="AF20" s="412"/>
      <c r="AG20" s="412"/>
      <c r="AH20" s="413"/>
      <c r="AI20" s="276"/>
    </row>
    <row r="21" spans="1:38" ht="15" customHeight="1" outlineLevel="2">
      <c r="A21" s="27">
        <v>1</v>
      </c>
      <c r="B21" s="206" t="s">
        <v>73</v>
      </c>
      <c r="C21" s="477" t="s">
        <v>153</v>
      </c>
      <c r="D21" s="478"/>
      <c r="E21" s="160">
        <v>27</v>
      </c>
      <c r="F21" s="159">
        <f>F8</f>
        <v>172475</v>
      </c>
      <c r="G21" s="161">
        <f>E21/F21</f>
        <v>1.5654442672851138E-4</v>
      </c>
      <c r="H21" s="330">
        <v>1</v>
      </c>
      <c r="I21" s="330">
        <f>U21</f>
        <v>150</v>
      </c>
      <c r="J21" s="210">
        <f t="shared" ref="J21:J43" si="14">IFERROR(G21*I21/H21,0)</f>
        <v>2.3481664009276707E-2</v>
      </c>
      <c r="K21" s="204"/>
      <c r="L21" s="425" t="s">
        <v>159</v>
      </c>
      <c r="M21" s="27">
        <v>1</v>
      </c>
      <c r="N21" s="17" t="s">
        <v>73</v>
      </c>
      <c r="O21" s="477" t="s">
        <v>153</v>
      </c>
      <c r="P21" s="478"/>
      <c r="Q21" s="160">
        <v>26</v>
      </c>
      <c r="R21" s="159">
        <f>R10</f>
        <v>61530</v>
      </c>
      <c r="S21" s="161">
        <f>Q21/R21</f>
        <v>4.225581017389891E-4</v>
      </c>
      <c r="T21" s="330">
        <v>1</v>
      </c>
      <c r="U21" s="330">
        <f>AF21</f>
        <v>150</v>
      </c>
      <c r="V21" s="68">
        <f t="shared" ref="V21:V43" si="15">IFERROR(S21*U21/T21,0)</f>
        <v>6.3383715260848364E-2</v>
      </c>
      <c r="W21" s="481" t="s">
        <v>159</v>
      </c>
      <c r="X21" s="27">
        <v>1</v>
      </c>
      <c r="Y21" s="17" t="s">
        <v>73</v>
      </c>
      <c r="Z21" s="477" t="s">
        <v>153</v>
      </c>
      <c r="AA21" s="478"/>
      <c r="AB21" s="160">
        <v>1</v>
      </c>
      <c r="AC21" s="159">
        <f>AC8</f>
        <v>14</v>
      </c>
      <c r="AD21" s="161">
        <f>AB21/AC21</f>
        <v>7.1428571428571425E-2</v>
      </c>
      <c r="AE21" s="330">
        <v>1</v>
      </c>
      <c r="AF21" s="330">
        <v>150</v>
      </c>
      <c r="AG21" s="68">
        <f t="shared" ref="AG21:AG43" si="16">IFERROR(AD21*AF21/AE21,0)</f>
        <v>10.714285714285714</v>
      </c>
      <c r="AH21" s="481" t="s">
        <v>159</v>
      </c>
      <c r="AI21" s="280">
        <f>AB21+Q21+E21</f>
        <v>54</v>
      </c>
      <c r="AJ21" s="62">
        <f>V21*R21+J21*F21+AG21*AC21</f>
        <v>8100</v>
      </c>
    </row>
    <row r="22" spans="1:38" ht="15" customHeight="1" outlineLevel="2">
      <c r="A22" s="27">
        <v>2</v>
      </c>
      <c r="B22" s="206" t="s">
        <v>74</v>
      </c>
      <c r="C22" s="477" t="s">
        <v>153</v>
      </c>
      <c r="D22" s="478"/>
      <c r="E22" s="160">
        <v>18</v>
      </c>
      <c r="F22" s="159">
        <f>F8</f>
        <v>172475</v>
      </c>
      <c r="G22" s="161">
        <f t="shared" ref="G22:G34" si="17">E22/F22</f>
        <v>1.0436295115234092E-4</v>
      </c>
      <c r="H22" s="330">
        <v>1</v>
      </c>
      <c r="I22" s="330">
        <f t="shared" ref="I22:I40" si="18">U22</f>
        <v>260</v>
      </c>
      <c r="J22" s="210">
        <f t="shared" si="14"/>
        <v>2.7134367299608639E-2</v>
      </c>
      <c r="K22" s="165"/>
      <c r="L22" s="426"/>
      <c r="M22" s="27">
        <v>2</v>
      </c>
      <c r="N22" s="17" t="s">
        <v>74</v>
      </c>
      <c r="O22" s="477" t="s">
        <v>153</v>
      </c>
      <c r="P22" s="478"/>
      <c r="Q22" s="160">
        <v>15</v>
      </c>
      <c r="R22" s="159">
        <f>R21</f>
        <v>61530</v>
      </c>
      <c r="S22" s="161">
        <f t="shared" ref="S22:S35" si="19">Q22/R22</f>
        <v>2.4378352023403217E-4</v>
      </c>
      <c r="T22" s="330">
        <v>1</v>
      </c>
      <c r="U22" s="330">
        <f t="shared" ref="U22:U40" si="20">AF22</f>
        <v>260</v>
      </c>
      <c r="V22" s="68">
        <f t="shared" si="15"/>
        <v>6.3383715260848364E-2</v>
      </c>
      <c r="W22" s="426"/>
      <c r="X22" s="27">
        <v>2</v>
      </c>
      <c r="Y22" s="17" t="s">
        <v>74</v>
      </c>
      <c r="Z22" s="477" t="s">
        <v>153</v>
      </c>
      <c r="AA22" s="478"/>
      <c r="AB22" s="160">
        <v>2</v>
      </c>
      <c r="AC22" s="159">
        <f>AC8</f>
        <v>14</v>
      </c>
      <c r="AD22" s="161">
        <f t="shared" ref="AD22:AD35" si="21">AB22/AC22</f>
        <v>0.14285714285714285</v>
      </c>
      <c r="AE22" s="330">
        <v>1</v>
      </c>
      <c r="AF22" s="330">
        <v>260</v>
      </c>
      <c r="AG22" s="68">
        <f t="shared" si="16"/>
        <v>37.142857142857139</v>
      </c>
      <c r="AH22" s="426"/>
      <c r="AI22" s="280">
        <f t="shared" ref="AI22:AI40" si="22">AB22+Q22+E22</f>
        <v>35</v>
      </c>
      <c r="AJ22" s="62">
        <f t="shared" ref="AJ22:AJ40" si="23">V22*R22+J22*F22+AG22*AC22</f>
        <v>9100</v>
      </c>
    </row>
    <row r="23" spans="1:38" outlineLevel="2">
      <c r="A23" s="27">
        <v>3</v>
      </c>
      <c r="B23" s="206" t="s">
        <v>75</v>
      </c>
      <c r="C23" s="477" t="s">
        <v>153</v>
      </c>
      <c r="D23" s="478"/>
      <c r="E23" s="160">
        <v>5</v>
      </c>
      <c r="F23" s="159">
        <f>F8</f>
        <v>172475</v>
      </c>
      <c r="G23" s="161">
        <f t="shared" si="17"/>
        <v>2.8989708653428032E-5</v>
      </c>
      <c r="H23" s="330">
        <v>1</v>
      </c>
      <c r="I23" s="330">
        <f t="shared" si="18"/>
        <v>50</v>
      </c>
      <c r="J23" s="210">
        <f t="shared" si="14"/>
        <v>1.4494854326714017E-3</v>
      </c>
      <c r="K23" s="165"/>
      <c r="L23" s="426"/>
      <c r="M23" s="27">
        <v>3</v>
      </c>
      <c r="N23" s="17" t="s">
        <v>75</v>
      </c>
      <c r="O23" s="477" t="s">
        <v>153</v>
      </c>
      <c r="P23" s="478"/>
      <c r="Q23" s="160">
        <v>8</v>
      </c>
      <c r="R23" s="159">
        <f t="shared" ref="R23:R40" si="24">R22</f>
        <v>61530</v>
      </c>
      <c r="S23" s="161">
        <f t="shared" si="19"/>
        <v>1.300178774581505E-4</v>
      </c>
      <c r="T23" s="330">
        <v>1</v>
      </c>
      <c r="U23" s="330">
        <f t="shared" si="20"/>
        <v>50</v>
      </c>
      <c r="V23" s="68">
        <f t="shared" si="15"/>
        <v>6.5008938729075256E-3</v>
      </c>
      <c r="W23" s="426"/>
      <c r="X23" s="27">
        <v>3</v>
      </c>
      <c r="Y23" s="17" t="s">
        <v>75</v>
      </c>
      <c r="Z23" s="477" t="s">
        <v>153</v>
      </c>
      <c r="AA23" s="478"/>
      <c r="AB23" s="160">
        <v>1</v>
      </c>
      <c r="AC23" s="159">
        <f>AC8</f>
        <v>14</v>
      </c>
      <c r="AD23" s="161">
        <f t="shared" si="21"/>
        <v>7.1428571428571425E-2</v>
      </c>
      <c r="AE23" s="330">
        <v>1</v>
      </c>
      <c r="AF23" s="330">
        <v>50</v>
      </c>
      <c r="AG23" s="68">
        <f t="shared" si="16"/>
        <v>3.5714285714285712</v>
      </c>
      <c r="AH23" s="426"/>
      <c r="AI23" s="280">
        <f t="shared" si="22"/>
        <v>14</v>
      </c>
      <c r="AJ23" s="62">
        <f t="shared" si="23"/>
        <v>700</v>
      </c>
    </row>
    <row r="24" spans="1:38" outlineLevel="2">
      <c r="A24" s="27">
        <v>4</v>
      </c>
      <c r="B24" s="206" t="s">
        <v>76</v>
      </c>
      <c r="C24" s="477" t="s">
        <v>153</v>
      </c>
      <c r="D24" s="478"/>
      <c r="E24" s="160">
        <v>11</v>
      </c>
      <c r="F24" s="159">
        <f>F8</f>
        <v>172475</v>
      </c>
      <c r="G24" s="161">
        <f t="shared" si="17"/>
        <v>6.3777359037541677E-5</v>
      </c>
      <c r="H24" s="330">
        <v>1</v>
      </c>
      <c r="I24" s="330">
        <f t="shared" si="18"/>
        <v>100</v>
      </c>
      <c r="J24" s="210">
        <f t="shared" si="14"/>
        <v>6.3777359037541677E-3</v>
      </c>
      <c r="K24" s="165"/>
      <c r="L24" s="426"/>
      <c r="M24" s="27">
        <v>4</v>
      </c>
      <c r="N24" s="17" t="s">
        <v>76</v>
      </c>
      <c r="O24" s="477" t="s">
        <v>153</v>
      </c>
      <c r="P24" s="478"/>
      <c r="Q24" s="160">
        <v>10</v>
      </c>
      <c r="R24" s="159">
        <f t="shared" si="24"/>
        <v>61530</v>
      </c>
      <c r="S24" s="161">
        <f t="shared" si="19"/>
        <v>1.6252234682268812E-4</v>
      </c>
      <c r="T24" s="330">
        <v>1</v>
      </c>
      <c r="U24" s="330">
        <f t="shared" si="20"/>
        <v>100</v>
      </c>
      <c r="V24" s="68">
        <f t="shared" si="15"/>
        <v>1.6252234682268812E-2</v>
      </c>
      <c r="W24" s="426"/>
      <c r="X24" s="27">
        <v>4</v>
      </c>
      <c r="Y24" s="17" t="s">
        <v>76</v>
      </c>
      <c r="Z24" s="477" t="s">
        <v>153</v>
      </c>
      <c r="AA24" s="478"/>
      <c r="AB24" s="160">
        <v>1</v>
      </c>
      <c r="AC24" s="159">
        <f>AC8</f>
        <v>14</v>
      </c>
      <c r="AD24" s="161">
        <f t="shared" si="21"/>
        <v>7.1428571428571425E-2</v>
      </c>
      <c r="AE24" s="330">
        <v>1</v>
      </c>
      <c r="AF24" s="330">
        <v>100</v>
      </c>
      <c r="AG24" s="68">
        <f t="shared" si="16"/>
        <v>7.1428571428571423</v>
      </c>
      <c r="AH24" s="426"/>
      <c r="AI24" s="280">
        <f t="shared" si="22"/>
        <v>22</v>
      </c>
      <c r="AJ24" s="62">
        <f t="shared" si="23"/>
        <v>2200</v>
      </c>
    </row>
    <row r="25" spans="1:38" outlineLevel="2">
      <c r="A25" s="27">
        <v>5</v>
      </c>
      <c r="B25" s="206" t="s">
        <v>77</v>
      </c>
      <c r="C25" s="477" t="s">
        <v>153</v>
      </c>
      <c r="D25" s="478"/>
      <c r="E25" s="160">
        <v>11</v>
      </c>
      <c r="F25" s="159">
        <f>F8</f>
        <v>172475</v>
      </c>
      <c r="G25" s="161">
        <f t="shared" si="17"/>
        <v>6.3777359037541677E-5</v>
      </c>
      <c r="H25" s="330">
        <v>1</v>
      </c>
      <c r="I25" s="330">
        <f t="shared" si="18"/>
        <v>50</v>
      </c>
      <c r="J25" s="210">
        <f t="shared" si="14"/>
        <v>3.1888679518770838E-3</v>
      </c>
      <c r="K25" s="165"/>
      <c r="L25" s="426"/>
      <c r="M25" s="27">
        <v>5</v>
      </c>
      <c r="N25" s="17" t="s">
        <v>77</v>
      </c>
      <c r="O25" s="477" t="s">
        <v>153</v>
      </c>
      <c r="P25" s="478"/>
      <c r="Q25" s="160">
        <v>10</v>
      </c>
      <c r="R25" s="159">
        <f t="shared" si="24"/>
        <v>61530</v>
      </c>
      <c r="S25" s="161">
        <f t="shared" si="19"/>
        <v>1.6252234682268812E-4</v>
      </c>
      <c r="T25" s="330">
        <v>1</v>
      </c>
      <c r="U25" s="330">
        <f t="shared" si="20"/>
        <v>50</v>
      </c>
      <c r="V25" s="68">
        <f t="shared" si="15"/>
        <v>8.1261173411344059E-3</v>
      </c>
      <c r="W25" s="426"/>
      <c r="X25" s="27">
        <v>5</v>
      </c>
      <c r="Y25" s="17" t="s">
        <v>77</v>
      </c>
      <c r="Z25" s="477" t="s">
        <v>153</v>
      </c>
      <c r="AA25" s="478"/>
      <c r="AB25" s="160">
        <v>1</v>
      </c>
      <c r="AC25" s="159">
        <f>AC8</f>
        <v>14</v>
      </c>
      <c r="AD25" s="161">
        <f t="shared" si="21"/>
        <v>7.1428571428571425E-2</v>
      </c>
      <c r="AE25" s="330">
        <v>1</v>
      </c>
      <c r="AF25" s="330">
        <v>50</v>
      </c>
      <c r="AG25" s="68">
        <f t="shared" si="16"/>
        <v>3.5714285714285712</v>
      </c>
      <c r="AH25" s="426"/>
      <c r="AI25" s="280">
        <f t="shared" si="22"/>
        <v>22</v>
      </c>
      <c r="AJ25" s="62">
        <f t="shared" si="23"/>
        <v>1100</v>
      </c>
    </row>
    <row r="26" spans="1:38" outlineLevel="2">
      <c r="A26" s="27">
        <v>6</v>
      </c>
      <c r="B26" s="206" t="s">
        <v>78</v>
      </c>
      <c r="C26" s="477" t="s">
        <v>153</v>
      </c>
      <c r="D26" s="478"/>
      <c r="E26" s="160">
        <v>10</v>
      </c>
      <c r="F26" s="159">
        <f>F8</f>
        <v>172475</v>
      </c>
      <c r="G26" s="161">
        <f t="shared" si="17"/>
        <v>5.7979417306856065E-5</v>
      </c>
      <c r="H26" s="330">
        <v>1</v>
      </c>
      <c r="I26" s="330">
        <f t="shared" si="18"/>
        <v>5</v>
      </c>
      <c r="J26" s="210">
        <f t="shared" si="14"/>
        <v>2.8989708653428034E-4</v>
      </c>
      <c r="K26" s="165"/>
      <c r="L26" s="426"/>
      <c r="M26" s="27">
        <v>6</v>
      </c>
      <c r="N26" s="17" t="s">
        <v>78</v>
      </c>
      <c r="O26" s="477" t="s">
        <v>153</v>
      </c>
      <c r="P26" s="478"/>
      <c r="Q26" s="160">
        <v>10</v>
      </c>
      <c r="R26" s="159">
        <f t="shared" si="24"/>
        <v>61530</v>
      </c>
      <c r="S26" s="161">
        <f t="shared" si="19"/>
        <v>1.6252234682268812E-4</v>
      </c>
      <c r="T26" s="330">
        <v>1</v>
      </c>
      <c r="U26" s="330">
        <f t="shared" si="20"/>
        <v>5</v>
      </c>
      <c r="V26" s="68">
        <f t="shared" si="15"/>
        <v>8.1261173411344059E-4</v>
      </c>
      <c r="W26" s="426"/>
      <c r="X26" s="27">
        <v>6</v>
      </c>
      <c r="Y26" s="17" t="s">
        <v>78</v>
      </c>
      <c r="Z26" s="477" t="s">
        <v>153</v>
      </c>
      <c r="AA26" s="478"/>
      <c r="AB26" s="160">
        <v>0</v>
      </c>
      <c r="AC26" s="159">
        <f>AC8</f>
        <v>14</v>
      </c>
      <c r="AD26" s="161">
        <f t="shared" si="21"/>
        <v>0</v>
      </c>
      <c r="AE26" s="330">
        <v>1</v>
      </c>
      <c r="AF26" s="330">
        <v>5</v>
      </c>
      <c r="AG26" s="68">
        <f t="shared" si="16"/>
        <v>0</v>
      </c>
      <c r="AH26" s="426"/>
      <c r="AI26" s="280">
        <f t="shared" si="22"/>
        <v>20</v>
      </c>
      <c r="AJ26" s="62">
        <f t="shared" si="23"/>
        <v>100</v>
      </c>
    </row>
    <row r="27" spans="1:38" outlineLevel="2">
      <c r="A27" s="27">
        <v>7</v>
      </c>
      <c r="B27" s="206" t="s">
        <v>119</v>
      </c>
      <c r="C27" s="477" t="s">
        <v>153</v>
      </c>
      <c r="D27" s="478"/>
      <c r="E27" s="160">
        <v>7</v>
      </c>
      <c r="F27" s="159">
        <f>F8</f>
        <v>172475</v>
      </c>
      <c r="G27" s="161">
        <f t="shared" si="17"/>
        <v>4.0585592114799247E-5</v>
      </c>
      <c r="H27" s="330">
        <v>1</v>
      </c>
      <c r="I27" s="330">
        <f t="shared" si="18"/>
        <v>30</v>
      </c>
      <c r="J27" s="210">
        <f t="shared" si="14"/>
        <v>1.2175677634439774E-3</v>
      </c>
      <c r="K27" s="165"/>
      <c r="L27" s="426"/>
      <c r="M27" s="27">
        <v>7</v>
      </c>
      <c r="N27" s="17" t="s">
        <v>119</v>
      </c>
      <c r="O27" s="477" t="s">
        <v>153</v>
      </c>
      <c r="P27" s="478"/>
      <c r="Q27" s="160">
        <v>6</v>
      </c>
      <c r="R27" s="159">
        <f t="shared" si="24"/>
        <v>61530</v>
      </c>
      <c r="S27" s="161">
        <f t="shared" si="19"/>
        <v>9.7513408093612871E-5</v>
      </c>
      <c r="T27" s="330">
        <v>1</v>
      </c>
      <c r="U27" s="330">
        <f t="shared" si="20"/>
        <v>30</v>
      </c>
      <c r="V27" s="68">
        <f t="shared" si="15"/>
        <v>2.9254022428083859E-3</v>
      </c>
      <c r="W27" s="426"/>
      <c r="X27" s="27">
        <v>7</v>
      </c>
      <c r="Y27" s="17" t="s">
        <v>119</v>
      </c>
      <c r="Z27" s="477" t="s">
        <v>153</v>
      </c>
      <c r="AA27" s="478"/>
      <c r="AB27" s="160">
        <v>1</v>
      </c>
      <c r="AC27" s="159">
        <f>AC8</f>
        <v>14</v>
      </c>
      <c r="AD27" s="161">
        <f t="shared" si="21"/>
        <v>7.1428571428571425E-2</v>
      </c>
      <c r="AE27" s="330">
        <v>1</v>
      </c>
      <c r="AF27" s="330">
        <v>30</v>
      </c>
      <c r="AG27" s="68">
        <f t="shared" si="16"/>
        <v>2.1428571428571428</v>
      </c>
      <c r="AH27" s="426"/>
      <c r="AI27" s="280">
        <f t="shared" si="22"/>
        <v>14</v>
      </c>
      <c r="AJ27" s="62">
        <f t="shared" si="23"/>
        <v>420</v>
      </c>
    </row>
    <row r="28" spans="1:38" outlineLevel="2">
      <c r="A28" s="27">
        <v>8</v>
      </c>
      <c r="B28" s="206" t="s">
        <v>79</v>
      </c>
      <c r="C28" s="477" t="s">
        <v>153</v>
      </c>
      <c r="D28" s="478"/>
      <c r="E28" s="160">
        <v>11</v>
      </c>
      <c r="F28" s="159">
        <f>F8</f>
        <v>172475</v>
      </c>
      <c r="G28" s="161">
        <f t="shared" si="17"/>
        <v>6.3777359037541677E-5</v>
      </c>
      <c r="H28" s="330">
        <v>1</v>
      </c>
      <c r="I28" s="330">
        <f t="shared" si="18"/>
        <v>50</v>
      </c>
      <c r="J28" s="210">
        <f t="shared" si="14"/>
        <v>3.1888679518770838E-3</v>
      </c>
      <c r="K28" s="165"/>
      <c r="L28" s="426"/>
      <c r="M28" s="27">
        <v>8</v>
      </c>
      <c r="N28" s="17" t="s">
        <v>79</v>
      </c>
      <c r="O28" s="477" t="s">
        <v>153</v>
      </c>
      <c r="P28" s="478"/>
      <c r="Q28" s="160">
        <v>10</v>
      </c>
      <c r="R28" s="159">
        <f t="shared" si="24"/>
        <v>61530</v>
      </c>
      <c r="S28" s="161">
        <f t="shared" si="19"/>
        <v>1.6252234682268812E-4</v>
      </c>
      <c r="T28" s="330">
        <v>1</v>
      </c>
      <c r="U28" s="330">
        <f t="shared" si="20"/>
        <v>50</v>
      </c>
      <c r="V28" s="68">
        <f t="shared" si="15"/>
        <v>8.1261173411344059E-3</v>
      </c>
      <c r="W28" s="426"/>
      <c r="X28" s="27">
        <v>8</v>
      </c>
      <c r="Y28" s="17" t="s">
        <v>79</v>
      </c>
      <c r="Z28" s="477" t="s">
        <v>153</v>
      </c>
      <c r="AA28" s="478"/>
      <c r="AB28" s="160">
        <v>1</v>
      </c>
      <c r="AC28" s="159">
        <f>AC8</f>
        <v>14</v>
      </c>
      <c r="AD28" s="161">
        <f t="shared" si="21"/>
        <v>7.1428571428571425E-2</v>
      </c>
      <c r="AE28" s="330">
        <v>1</v>
      </c>
      <c r="AF28" s="330">
        <v>50</v>
      </c>
      <c r="AG28" s="68">
        <f t="shared" si="16"/>
        <v>3.5714285714285712</v>
      </c>
      <c r="AH28" s="426"/>
      <c r="AI28" s="280">
        <f t="shared" si="22"/>
        <v>22</v>
      </c>
      <c r="AJ28" s="62">
        <f t="shared" si="23"/>
        <v>1100</v>
      </c>
    </row>
    <row r="29" spans="1:38" outlineLevel="2">
      <c r="A29" s="27">
        <v>9</v>
      </c>
      <c r="B29" s="206" t="s">
        <v>82</v>
      </c>
      <c r="C29" s="477" t="s">
        <v>153</v>
      </c>
      <c r="D29" s="478"/>
      <c r="E29" s="160">
        <v>8</v>
      </c>
      <c r="F29" s="159">
        <f>F8</f>
        <v>172475</v>
      </c>
      <c r="G29" s="161">
        <f t="shared" si="17"/>
        <v>4.6383533845484853E-5</v>
      </c>
      <c r="H29" s="330">
        <v>1</v>
      </c>
      <c r="I29" s="330">
        <f t="shared" si="18"/>
        <v>60</v>
      </c>
      <c r="J29" s="210">
        <f t="shared" si="14"/>
        <v>2.7830120307290912E-3</v>
      </c>
      <c r="K29" s="165"/>
      <c r="L29" s="426"/>
      <c r="M29" s="27">
        <v>9</v>
      </c>
      <c r="N29" s="17" t="s">
        <v>82</v>
      </c>
      <c r="O29" s="477" t="s">
        <v>153</v>
      </c>
      <c r="P29" s="478"/>
      <c r="Q29" s="160">
        <v>7</v>
      </c>
      <c r="R29" s="159">
        <f t="shared" si="24"/>
        <v>61530</v>
      </c>
      <c r="S29" s="161">
        <f t="shared" si="19"/>
        <v>1.1376564277588168E-4</v>
      </c>
      <c r="T29" s="330">
        <v>1</v>
      </c>
      <c r="U29" s="330">
        <f t="shared" si="20"/>
        <v>60</v>
      </c>
      <c r="V29" s="68">
        <f t="shared" si="15"/>
        <v>6.8259385665529011E-3</v>
      </c>
      <c r="W29" s="426"/>
      <c r="X29" s="27">
        <v>9</v>
      </c>
      <c r="Y29" s="17" t="s">
        <v>82</v>
      </c>
      <c r="Z29" s="477" t="s">
        <v>153</v>
      </c>
      <c r="AA29" s="478"/>
      <c r="AB29" s="160">
        <v>1</v>
      </c>
      <c r="AC29" s="159">
        <f>AC8</f>
        <v>14</v>
      </c>
      <c r="AD29" s="161">
        <f t="shared" si="21"/>
        <v>7.1428571428571425E-2</v>
      </c>
      <c r="AE29" s="330">
        <v>1</v>
      </c>
      <c r="AF29" s="330">
        <v>60</v>
      </c>
      <c r="AG29" s="68">
        <f t="shared" si="16"/>
        <v>4.2857142857142856</v>
      </c>
      <c r="AH29" s="426"/>
      <c r="AI29" s="280">
        <f t="shared" si="22"/>
        <v>16</v>
      </c>
      <c r="AJ29" s="62">
        <f t="shared" si="23"/>
        <v>960</v>
      </c>
    </row>
    <row r="30" spans="1:38" outlineLevel="2">
      <c r="A30" s="27">
        <v>10</v>
      </c>
      <c r="B30" s="206" t="s">
        <v>80</v>
      </c>
      <c r="C30" s="477" t="s">
        <v>153</v>
      </c>
      <c r="D30" s="478"/>
      <c r="E30" s="160">
        <v>11</v>
      </c>
      <c r="F30" s="159">
        <f>F8</f>
        <v>172475</v>
      </c>
      <c r="G30" s="161">
        <f t="shared" si="17"/>
        <v>6.3777359037541677E-5</v>
      </c>
      <c r="H30" s="330">
        <v>1</v>
      </c>
      <c r="I30" s="330">
        <f t="shared" si="18"/>
        <v>40</v>
      </c>
      <c r="J30" s="210">
        <f t="shared" si="14"/>
        <v>2.551094361501667E-3</v>
      </c>
      <c r="K30" s="165"/>
      <c r="L30" s="426"/>
      <c r="M30" s="27">
        <v>10</v>
      </c>
      <c r="N30" s="17" t="s">
        <v>80</v>
      </c>
      <c r="O30" s="477" t="s">
        <v>153</v>
      </c>
      <c r="P30" s="478"/>
      <c r="Q30" s="160">
        <v>10</v>
      </c>
      <c r="R30" s="159">
        <f t="shared" si="24"/>
        <v>61530</v>
      </c>
      <c r="S30" s="161">
        <f t="shared" si="19"/>
        <v>1.6252234682268812E-4</v>
      </c>
      <c r="T30" s="330">
        <v>1</v>
      </c>
      <c r="U30" s="330">
        <f t="shared" si="20"/>
        <v>40</v>
      </c>
      <c r="V30" s="68">
        <f t="shared" si="15"/>
        <v>6.5008938729075247E-3</v>
      </c>
      <c r="W30" s="426"/>
      <c r="X30" s="27">
        <v>10</v>
      </c>
      <c r="Y30" s="17" t="s">
        <v>80</v>
      </c>
      <c r="Z30" s="477" t="s">
        <v>153</v>
      </c>
      <c r="AA30" s="478"/>
      <c r="AB30" s="160">
        <v>1</v>
      </c>
      <c r="AC30" s="159">
        <f>AC8</f>
        <v>14</v>
      </c>
      <c r="AD30" s="161">
        <f t="shared" si="21"/>
        <v>7.1428571428571425E-2</v>
      </c>
      <c r="AE30" s="330">
        <v>1</v>
      </c>
      <c r="AF30" s="330">
        <v>40</v>
      </c>
      <c r="AG30" s="68">
        <f t="shared" si="16"/>
        <v>2.8571428571428568</v>
      </c>
      <c r="AH30" s="426"/>
      <c r="AI30" s="280">
        <f t="shared" si="22"/>
        <v>22</v>
      </c>
      <c r="AJ30" s="62">
        <f t="shared" si="23"/>
        <v>880</v>
      </c>
    </row>
    <row r="31" spans="1:38" outlineLevel="2">
      <c r="A31" s="27">
        <v>11</v>
      </c>
      <c r="B31" s="206" t="s">
        <v>81</v>
      </c>
      <c r="C31" s="477" t="s">
        <v>153</v>
      </c>
      <c r="D31" s="478"/>
      <c r="E31" s="160">
        <v>9</v>
      </c>
      <c r="F31" s="159">
        <f>F8</f>
        <v>172475</v>
      </c>
      <c r="G31" s="161">
        <f t="shared" si="17"/>
        <v>5.2181475576170459E-5</v>
      </c>
      <c r="H31" s="330">
        <v>1</v>
      </c>
      <c r="I31" s="330">
        <f t="shared" si="18"/>
        <v>50</v>
      </c>
      <c r="J31" s="210">
        <f t="shared" si="14"/>
        <v>2.6090737788085228E-3</v>
      </c>
      <c r="K31" s="165"/>
      <c r="L31" s="426"/>
      <c r="M31" s="27">
        <v>11</v>
      </c>
      <c r="N31" s="17" t="s">
        <v>81</v>
      </c>
      <c r="O31" s="477" t="s">
        <v>153</v>
      </c>
      <c r="P31" s="478"/>
      <c r="Q31" s="160">
        <v>8</v>
      </c>
      <c r="R31" s="159">
        <f t="shared" si="24"/>
        <v>61530</v>
      </c>
      <c r="S31" s="161">
        <f t="shared" si="19"/>
        <v>1.300178774581505E-4</v>
      </c>
      <c r="T31" s="330">
        <v>1</v>
      </c>
      <c r="U31" s="330">
        <f t="shared" si="20"/>
        <v>50</v>
      </c>
      <c r="V31" s="68">
        <f t="shared" si="15"/>
        <v>6.5008938729075256E-3</v>
      </c>
      <c r="W31" s="426"/>
      <c r="X31" s="27">
        <v>11</v>
      </c>
      <c r="Y31" s="17" t="s">
        <v>81</v>
      </c>
      <c r="Z31" s="477" t="s">
        <v>153</v>
      </c>
      <c r="AA31" s="478"/>
      <c r="AB31" s="160">
        <v>1</v>
      </c>
      <c r="AC31" s="159">
        <f>AC8</f>
        <v>14</v>
      </c>
      <c r="AD31" s="161">
        <f t="shared" si="21"/>
        <v>7.1428571428571425E-2</v>
      </c>
      <c r="AE31" s="330">
        <v>1</v>
      </c>
      <c r="AF31" s="330">
        <v>50</v>
      </c>
      <c r="AG31" s="68">
        <f t="shared" si="16"/>
        <v>3.5714285714285712</v>
      </c>
      <c r="AH31" s="426"/>
      <c r="AI31" s="280">
        <f t="shared" si="22"/>
        <v>18</v>
      </c>
      <c r="AJ31" s="62">
        <f t="shared" si="23"/>
        <v>900</v>
      </c>
    </row>
    <row r="32" spans="1:38" ht="15" customHeight="1" outlineLevel="2">
      <c r="A32" s="27">
        <v>12</v>
      </c>
      <c r="B32" s="206" t="s">
        <v>120</v>
      </c>
      <c r="C32" s="477" t="s">
        <v>153</v>
      </c>
      <c r="D32" s="478"/>
      <c r="E32" s="160">
        <v>7</v>
      </c>
      <c r="F32" s="159">
        <f>F8</f>
        <v>172475</v>
      </c>
      <c r="G32" s="161">
        <f t="shared" si="17"/>
        <v>4.0585592114799247E-5</v>
      </c>
      <c r="H32" s="330">
        <v>1</v>
      </c>
      <c r="I32" s="330">
        <f t="shared" si="18"/>
        <v>30</v>
      </c>
      <c r="J32" s="210">
        <f t="shared" si="14"/>
        <v>1.2175677634439774E-3</v>
      </c>
      <c r="K32" s="165"/>
      <c r="L32" s="426"/>
      <c r="M32" s="27">
        <v>12</v>
      </c>
      <c r="N32" s="17" t="s">
        <v>120</v>
      </c>
      <c r="O32" s="477" t="s">
        <v>153</v>
      </c>
      <c r="P32" s="478"/>
      <c r="Q32" s="160">
        <v>7</v>
      </c>
      <c r="R32" s="159">
        <f t="shared" si="24"/>
        <v>61530</v>
      </c>
      <c r="S32" s="161">
        <f t="shared" si="19"/>
        <v>1.1376564277588168E-4</v>
      </c>
      <c r="T32" s="330">
        <v>1</v>
      </c>
      <c r="U32" s="330">
        <f t="shared" si="20"/>
        <v>30</v>
      </c>
      <c r="V32" s="68">
        <f t="shared" si="15"/>
        <v>3.4129692832764505E-3</v>
      </c>
      <c r="W32" s="426"/>
      <c r="X32" s="27">
        <v>12</v>
      </c>
      <c r="Y32" s="17" t="s">
        <v>120</v>
      </c>
      <c r="Z32" s="477" t="s">
        <v>153</v>
      </c>
      <c r="AA32" s="478"/>
      <c r="AB32" s="160">
        <v>1</v>
      </c>
      <c r="AC32" s="159">
        <f>AC8</f>
        <v>14</v>
      </c>
      <c r="AD32" s="161">
        <f>AB32/AC32</f>
        <v>7.1428571428571425E-2</v>
      </c>
      <c r="AE32" s="330">
        <v>1</v>
      </c>
      <c r="AF32" s="330">
        <v>30</v>
      </c>
      <c r="AG32" s="68">
        <f t="shared" si="16"/>
        <v>2.1428571428571428</v>
      </c>
      <c r="AH32" s="426"/>
      <c r="AI32" s="280">
        <f t="shared" si="22"/>
        <v>15</v>
      </c>
      <c r="AJ32" s="62">
        <f t="shared" si="23"/>
        <v>450</v>
      </c>
    </row>
    <row r="33" spans="1:38" outlineLevel="2">
      <c r="A33" s="27">
        <v>13</v>
      </c>
      <c r="B33" s="206" t="s">
        <v>96</v>
      </c>
      <c r="C33" s="477" t="s">
        <v>153</v>
      </c>
      <c r="D33" s="478"/>
      <c r="E33" s="160">
        <v>6</v>
      </c>
      <c r="F33" s="159">
        <f>F8</f>
        <v>172475</v>
      </c>
      <c r="G33" s="161">
        <f t="shared" si="17"/>
        <v>3.4787650384113642E-5</v>
      </c>
      <c r="H33" s="330">
        <v>1</v>
      </c>
      <c r="I33" s="330">
        <f t="shared" si="18"/>
        <v>150</v>
      </c>
      <c r="J33" s="210">
        <f t="shared" si="14"/>
        <v>5.2181475576170465E-3</v>
      </c>
      <c r="K33" s="165"/>
      <c r="L33" s="426"/>
      <c r="M33" s="27">
        <v>13</v>
      </c>
      <c r="N33" s="17" t="s">
        <v>96</v>
      </c>
      <c r="O33" s="477" t="s">
        <v>153</v>
      </c>
      <c r="P33" s="478"/>
      <c r="Q33" s="160">
        <v>5</v>
      </c>
      <c r="R33" s="159">
        <f t="shared" si="24"/>
        <v>61530</v>
      </c>
      <c r="S33" s="161">
        <f t="shared" si="19"/>
        <v>8.1261173411344061E-5</v>
      </c>
      <c r="T33" s="330">
        <v>1</v>
      </c>
      <c r="U33" s="330">
        <f t="shared" si="20"/>
        <v>150</v>
      </c>
      <c r="V33" s="68">
        <f t="shared" si="15"/>
        <v>1.218917601170161E-2</v>
      </c>
      <c r="W33" s="426"/>
      <c r="X33" s="27">
        <v>13</v>
      </c>
      <c r="Y33" s="17" t="s">
        <v>96</v>
      </c>
      <c r="Z33" s="477" t="s">
        <v>153</v>
      </c>
      <c r="AA33" s="478"/>
      <c r="AB33" s="160">
        <v>1</v>
      </c>
      <c r="AC33" s="159">
        <f>AC8</f>
        <v>14</v>
      </c>
      <c r="AD33" s="161">
        <f t="shared" si="21"/>
        <v>7.1428571428571425E-2</v>
      </c>
      <c r="AE33" s="330">
        <v>1</v>
      </c>
      <c r="AF33" s="330">
        <v>150</v>
      </c>
      <c r="AG33" s="68">
        <f t="shared" si="16"/>
        <v>10.714285714285714</v>
      </c>
      <c r="AH33" s="426"/>
      <c r="AI33" s="280">
        <f t="shared" si="22"/>
        <v>12</v>
      </c>
      <c r="AJ33" s="62">
        <f t="shared" si="23"/>
        <v>1800</v>
      </c>
    </row>
    <row r="34" spans="1:38" outlineLevel="2">
      <c r="A34" s="27">
        <v>14</v>
      </c>
      <c r="B34" s="206" t="s">
        <v>83</v>
      </c>
      <c r="C34" s="477" t="s">
        <v>153</v>
      </c>
      <c r="D34" s="478"/>
      <c r="E34" s="160">
        <v>3</v>
      </c>
      <c r="F34" s="159">
        <f>F8</f>
        <v>172475</v>
      </c>
      <c r="G34" s="161">
        <f t="shared" si="17"/>
        <v>1.7393825192056821E-5</v>
      </c>
      <c r="H34" s="330">
        <v>1</v>
      </c>
      <c r="I34" s="330">
        <f t="shared" si="18"/>
        <v>35</v>
      </c>
      <c r="J34" s="210">
        <f t="shared" si="14"/>
        <v>6.0878388172198872E-4</v>
      </c>
      <c r="K34" s="165"/>
      <c r="L34" s="426"/>
      <c r="M34" s="27">
        <v>14</v>
      </c>
      <c r="N34" s="17" t="s">
        <v>83</v>
      </c>
      <c r="O34" s="477" t="s">
        <v>153</v>
      </c>
      <c r="P34" s="478"/>
      <c r="Q34" s="160">
        <v>2</v>
      </c>
      <c r="R34" s="159">
        <f t="shared" si="24"/>
        <v>61530</v>
      </c>
      <c r="S34" s="161">
        <f t="shared" si="19"/>
        <v>3.2504469364537626E-5</v>
      </c>
      <c r="T34" s="330">
        <v>1</v>
      </c>
      <c r="U34" s="330">
        <f t="shared" si="20"/>
        <v>35</v>
      </c>
      <c r="V34" s="68">
        <f t="shared" si="15"/>
        <v>1.137656427758817E-3</v>
      </c>
      <c r="W34" s="426"/>
      <c r="X34" s="27">
        <v>14</v>
      </c>
      <c r="Y34" s="17" t="s">
        <v>83</v>
      </c>
      <c r="Z34" s="477" t="s">
        <v>153</v>
      </c>
      <c r="AA34" s="478"/>
      <c r="AB34" s="160">
        <v>1</v>
      </c>
      <c r="AC34" s="159">
        <f>AC8</f>
        <v>14</v>
      </c>
      <c r="AD34" s="161">
        <f t="shared" si="21"/>
        <v>7.1428571428571425E-2</v>
      </c>
      <c r="AE34" s="330">
        <v>1</v>
      </c>
      <c r="AF34" s="330">
        <v>35</v>
      </c>
      <c r="AG34" s="68">
        <f t="shared" si="16"/>
        <v>2.5</v>
      </c>
      <c r="AH34" s="426"/>
      <c r="AI34" s="280">
        <f t="shared" si="22"/>
        <v>6</v>
      </c>
      <c r="AJ34" s="62">
        <f t="shared" si="23"/>
        <v>210</v>
      </c>
    </row>
    <row r="35" spans="1:38" outlineLevel="2">
      <c r="A35" s="27">
        <v>15</v>
      </c>
      <c r="B35" s="206" t="s">
        <v>121</v>
      </c>
      <c r="C35" s="477" t="s">
        <v>153</v>
      </c>
      <c r="D35" s="478"/>
      <c r="E35" s="160">
        <v>8</v>
      </c>
      <c r="F35" s="159">
        <f>F8</f>
        <v>172475</v>
      </c>
      <c r="G35" s="161">
        <f t="shared" ref="G35:G42" si="25">E35/F35</f>
        <v>4.6383533845484853E-5</v>
      </c>
      <c r="H35" s="330">
        <v>1</v>
      </c>
      <c r="I35" s="330">
        <f t="shared" si="18"/>
        <v>256</v>
      </c>
      <c r="J35" s="210">
        <f t="shared" si="14"/>
        <v>1.1874184664444122E-2</v>
      </c>
      <c r="K35" s="165"/>
      <c r="L35" s="426"/>
      <c r="M35" s="27">
        <v>15</v>
      </c>
      <c r="N35" s="17" t="s">
        <v>121</v>
      </c>
      <c r="O35" s="477" t="s">
        <v>153</v>
      </c>
      <c r="P35" s="478"/>
      <c r="Q35" s="160">
        <v>6</v>
      </c>
      <c r="R35" s="159">
        <f t="shared" si="24"/>
        <v>61530</v>
      </c>
      <c r="S35" s="161">
        <f t="shared" si="19"/>
        <v>9.7513408093612871E-5</v>
      </c>
      <c r="T35" s="330">
        <v>1</v>
      </c>
      <c r="U35" s="330">
        <f t="shared" si="20"/>
        <v>256</v>
      </c>
      <c r="V35" s="68">
        <f t="shared" si="15"/>
        <v>2.4963432471964895E-2</v>
      </c>
      <c r="W35" s="426"/>
      <c r="X35" s="27">
        <v>15</v>
      </c>
      <c r="Y35" s="17" t="s">
        <v>121</v>
      </c>
      <c r="Z35" s="477" t="s">
        <v>153</v>
      </c>
      <c r="AA35" s="478"/>
      <c r="AB35" s="160">
        <v>1</v>
      </c>
      <c r="AC35" s="159">
        <f>AC8</f>
        <v>14</v>
      </c>
      <c r="AD35" s="161">
        <f t="shared" si="21"/>
        <v>7.1428571428571425E-2</v>
      </c>
      <c r="AE35" s="330">
        <v>1</v>
      </c>
      <c r="AF35" s="330">
        <v>256</v>
      </c>
      <c r="AG35" s="68">
        <f t="shared" si="16"/>
        <v>18.285714285714285</v>
      </c>
      <c r="AH35" s="426"/>
      <c r="AI35" s="280">
        <f t="shared" si="22"/>
        <v>15</v>
      </c>
      <c r="AJ35" s="62">
        <f t="shared" si="23"/>
        <v>3840</v>
      </c>
    </row>
    <row r="36" spans="1:38" outlineLevel="2">
      <c r="A36" s="27">
        <v>16</v>
      </c>
      <c r="B36" s="206" t="s">
        <v>84</v>
      </c>
      <c r="C36" s="477" t="s">
        <v>153</v>
      </c>
      <c r="D36" s="478"/>
      <c r="E36" s="162">
        <v>6</v>
      </c>
      <c r="F36" s="159">
        <f>F8</f>
        <v>172475</v>
      </c>
      <c r="G36" s="161">
        <f>E36/F36</f>
        <v>3.4787650384113642E-5</v>
      </c>
      <c r="H36" s="330">
        <v>1</v>
      </c>
      <c r="I36" s="330">
        <f t="shared" si="18"/>
        <v>2000</v>
      </c>
      <c r="J36" s="210">
        <f t="shared" si="14"/>
        <v>6.957530076822728E-2</v>
      </c>
      <c r="K36" s="165"/>
      <c r="L36" s="426"/>
      <c r="M36" s="27">
        <v>16</v>
      </c>
      <c r="N36" s="17" t="s">
        <v>84</v>
      </c>
      <c r="O36" s="477" t="s">
        <v>153</v>
      </c>
      <c r="P36" s="478"/>
      <c r="Q36" s="162">
        <v>5</v>
      </c>
      <c r="R36" s="159">
        <f t="shared" si="24"/>
        <v>61530</v>
      </c>
      <c r="S36" s="161">
        <f>Q36/R36</f>
        <v>8.1261173411344061E-5</v>
      </c>
      <c r="T36" s="330">
        <v>1</v>
      </c>
      <c r="U36" s="330">
        <f t="shared" si="20"/>
        <v>2000</v>
      </c>
      <c r="V36" s="68">
        <f t="shared" si="15"/>
        <v>0.16252234682268812</v>
      </c>
      <c r="W36" s="426"/>
      <c r="X36" s="27">
        <v>16</v>
      </c>
      <c r="Y36" s="17" t="s">
        <v>84</v>
      </c>
      <c r="Z36" s="477" t="s">
        <v>153</v>
      </c>
      <c r="AA36" s="478"/>
      <c r="AB36" s="162">
        <v>1</v>
      </c>
      <c r="AC36" s="159">
        <f>AC8</f>
        <v>14</v>
      </c>
      <c r="AD36" s="161">
        <f>AB36/AC36</f>
        <v>7.1428571428571425E-2</v>
      </c>
      <c r="AE36" s="330">
        <v>1</v>
      </c>
      <c r="AF36" s="330">
        <v>2000</v>
      </c>
      <c r="AG36" s="68">
        <f t="shared" si="16"/>
        <v>142.85714285714286</v>
      </c>
      <c r="AH36" s="426"/>
      <c r="AI36" s="280">
        <f t="shared" si="22"/>
        <v>12</v>
      </c>
      <c r="AJ36" s="62">
        <f t="shared" si="23"/>
        <v>24000</v>
      </c>
    </row>
    <row r="37" spans="1:38" outlineLevel="2">
      <c r="A37" s="27">
        <v>17</v>
      </c>
      <c r="B37" s="206" t="s">
        <v>85</v>
      </c>
      <c r="C37" s="477" t="s">
        <v>153</v>
      </c>
      <c r="D37" s="478"/>
      <c r="E37" s="163">
        <v>17</v>
      </c>
      <c r="F37" s="159">
        <f>F8</f>
        <v>172475</v>
      </c>
      <c r="G37" s="161">
        <f t="shared" si="25"/>
        <v>9.8565009421655312E-5</v>
      </c>
      <c r="H37" s="330">
        <v>1</v>
      </c>
      <c r="I37" s="330">
        <f t="shared" si="18"/>
        <v>300</v>
      </c>
      <c r="J37" s="210">
        <f t="shared" si="14"/>
        <v>2.9569502826496594E-2</v>
      </c>
      <c r="K37" s="165"/>
      <c r="L37" s="426"/>
      <c r="M37" s="27">
        <v>17</v>
      </c>
      <c r="N37" s="17" t="s">
        <v>85</v>
      </c>
      <c r="O37" s="477" t="s">
        <v>153</v>
      </c>
      <c r="P37" s="478"/>
      <c r="Q37" s="163">
        <v>10</v>
      </c>
      <c r="R37" s="159">
        <f t="shared" si="24"/>
        <v>61530</v>
      </c>
      <c r="S37" s="161">
        <f t="shared" ref="S37:S43" si="26">Q37/R37</f>
        <v>1.6252234682268812E-4</v>
      </c>
      <c r="T37" s="330">
        <v>1</v>
      </c>
      <c r="U37" s="330">
        <f t="shared" si="20"/>
        <v>300</v>
      </c>
      <c r="V37" s="68">
        <f t="shared" si="15"/>
        <v>4.8756704046806439E-2</v>
      </c>
      <c r="W37" s="426"/>
      <c r="X37" s="27">
        <v>17</v>
      </c>
      <c r="Y37" s="17" t="s">
        <v>85</v>
      </c>
      <c r="Z37" s="477" t="s">
        <v>153</v>
      </c>
      <c r="AA37" s="478"/>
      <c r="AB37" s="163">
        <v>1</v>
      </c>
      <c r="AC37" s="159">
        <f>AC8</f>
        <v>14</v>
      </c>
      <c r="AD37" s="161">
        <f t="shared" ref="AD37:AD43" si="27">AB37/AC37</f>
        <v>7.1428571428571425E-2</v>
      </c>
      <c r="AE37" s="330">
        <v>1</v>
      </c>
      <c r="AF37" s="330">
        <v>300</v>
      </c>
      <c r="AG37" s="68">
        <f t="shared" si="16"/>
        <v>21.428571428571427</v>
      </c>
      <c r="AH37" s="426"/>
      <c r="AI37" s="280">
        <f t="shared" si="22"/>
        <v>28</v>
      </c>
      <c r="AJ37" s="62">
        <f t="shared" si="23"/>
        <v>8400</v>
      </c>
    </row>
    <row r="38" spans="1:38" outlineLevel="2">
      <c r="A38" s="27">
        <v>18</v>
      </c>
      <c r="B38" s="206" t="s">
        <v>97</v>
      </c>
      <c r="C38" s="477" t="s">
        <v>153</v>
      </c>
      <c r="D38" s="478"/>
      <c r="E38" s="163">
        <v>7</v>
      </c>
      <c r="F38" s="159">
        <f>F8</f>
        <v>172475</v>
      </c>
      <c r="G38" s="161">
        <f t="shared" si="25"/>
        <v>4.0585592114799247E-5</v>
      </c>
      <c r="H38" s="330">
        <v>1</v>
      </c>
      <c r="I38" s="330">
        <f t="shared" si="18"/>
        <v>500</v>
      </c>
      <c r="J38" s="210">
        <f t="shared" si="14"/>
        <v>2.0292796057399625E-2</v>
      </c>
      <c r="K38" s="165"/>
      <c r="L38" s="426"/>
      <c r="M38" s="27">
        <v>18</v>
      </c>
      <c r="N38" s="17" t="s">
        <v>97</v>
      </c>
      <c r="O38" s="477" t="s">
        <v>153</v>
      </c>
      <c r="P38" s="478"/>
      <c r="Q38" s="163">
        <v>8</v>
      </c>
      <c r="R38" s="159">
        <f t="shared" si="24"/>
        <v>61530</v>
      </c>
      <c r="S38" s="161">
        <f t="shared" si="26"/>
        <v>1.300178774581505E-4</v>
      </c>
      <c r="T38" s="330">
        <v>1</v>
      </c>
      <c r="U38" s="330">
        <f t="shared" si="20"/>
        <v>500</v>
      </c>
      <c r="V38" s="68">
        <f t="shared" si="15"/>
        <v>6.5008938729075247E-2</v>
      </c>
      <c r="W38" s="426"/>
      <c r="X38" s="27">
        <v>18</v>
      </c>
      <c r="Y38" s="17" t="s">
        <v>97</v>
      </c>
      <c r="Z38" s="477" t="s">
        <v>153</v>
      </c>
      <c r="AA38" s="478"/>
      <c r="AB38" s="163">
        <v>1</v>
      </c>
      <c r="AC38" s="159">
        <f>AC8</f>
        <v>14</v>
      </c>
      <c r="AD38" s="161">
        <f t="shared" si="27"/>
        <v>7.1428571428571425E-2</v>
      </c>
      <c r="AE38" s="330">
        <v>1</v>
      </c>
      <c r="AF38" s="330">
        <v>500</v>
      </c>
      <c r="AG38" s="68">
        <f t="shared" si="16"/>
        <v>35.714285714285715</v>
      </c>
      <c r="AH38" s="426"/>
      <c r="AI38" s="280">
        <f t="shared" si="22"/>
        <v>16</v>
      </c>
      <c r="AJ38" s="62">
        <f t="shared" si="23"/>
        <v>8000</v>
      </c>
    </row>
    <row r="39" spans="1:38" ht="15" customHeight="1" outlineLevel="2">
      <c r="A39" s="27">
        <v>19</v>
      </c>
      <c r="B39" s="206" t="s">
        <v>122</v>
      </c>
      <c r="C39" s="477" t="s">
        <v>153</v>
      </c>
      <c r="D39" s="478"/>
      <c r="E39" s="164">
        <v>16</v>
      </c>
      <c r="F39" s="159">
        <f>F8</f>
        <v>172475</v>
      </c>
      <c r="G39" s="161">
        <f t="shared" si="25"/>
        <v>9.2767067690969706E-5</v>
      </c>
      <c r="H39" s="330">
        <v>1</v>
      </c>
      <c r="I39" s="330">
        <f t="shared" si="18"/>
        <v>150</v>
      </c>
      <c r="J39" s="210">
        <f t="shared" si="14"/>
        <v>1.3915060153645456E-2</v>
      </c>
      <c r="K39" s="165"/>
      <c r="L39" s="426"/>
      <c r="M39" s="27">
        <v>19</v>
      </c>
      <c r="N39" s="17" t="s">
        <v>122</v>
      </c>
      <c r="O39" s="477" t="s">
        <v>153</v>
      </c>
      <c r="P39" s="478"/>
      <c r="Q39" s="164">
        <v>7</v>
      </c>
      <c r="R39" s="159">
        <f t="shared" si="24"/>
        <v>61530</v>
      </c>
      <c r="S39" s="161">
        <f t="shared" si="26"/>
        <v>1.1376564277588168E-4</v>
      </c>
      <c r="T39" s="330">
        <v>1</v>
      </c>
      <c r="U39" s="330">
        <f t="shared" si="20"/>
        <v>150</v>
      </c>
      <c r="V39" s="68">
        <f t="shared" si="15"/>
        <v>1.7064846416382253E-2</v>
      </c>
      <c r="W39" s="426"/>
      <c r="X39" s="27">
        <v>19</v>
      </c>
      <c r="Y39" s="17" t="s">
        <v>122</v>
      </c>
      <c r="Z39" s="477" t="s">
        <v>153</v>
      </c>
      <c r="AA39" s="478"/>
      <c r="AB39" s="164">
        <v>1</v>
      </c>
      <c r="AC39" s="159">
        <f>AC8</f>
        <v>14</v>
      </c>
      <c r="AD39" s="161">
        <f t="shared" si="27"/>
        <v>7.1428571428571425E-2</v>
      </c>
      <c r="AE39" s="330">
        <v>1</v>
      </c>
      <c r="AF39" s="330">
        <v>150</v>
      </c>
      <c r="AG39" s="68">
        <f t="shared" si="16"/>
        <v>10.714285714285714</v>
      </c>
      <c r="AH39" s="426"/>
      <c r="AI39" s="280">
        <f t="shared" si="22"/>
        <v>24</v>
      </c>
      <c r="AJ39" s="62">
        <f t="shared" si="23"/>
        <v>3600</v>
      </c>
    </row>
    <row r="40" spans="1:38" ht="30" customHeight="1" outlineLevel="2">
      <c r="A40" s="27">
        <v>20</v>
      </c>
      <c r="B40" s="206" t="s">
        <v>123</v>
      </c>
      <c r="C40" s="477" t="s">
        <v>153</v>
      </c>
      <c r="D40" s="478"/>
      <c r="E40" s="164">
        <v>16</v>
      </c>
      <c r="F40" s="159">
        <f>F8</f>
        <v>172475</v>
      </c>
      <c r="G40" s="161">
        <f t="shared" si="25"/>
        <v>9.2767067690969706E-5</v>
      </c>
      <c r="H40" s="330">
        <v>1</v>
      </c>
      <c r="I40" s="330">
        <f t="shared" si="18"/>
        <v>1000</v>
      </c>
      <c r="J40" s="210">
        <f t="shared" si="14"/>
        <v>9.2767067690969707E-2</v>
      </c>
      <c r="K40" s="165"/>
      <c r="L40" s="426"/>
      <c r="M40" s="27">
        <v>20</v>
      </c>
      <c r="N40" s="17" t="s">
        <v>198</v>
      </c>
      <c r="O40" s="477" t="s">
        <v>153</v>
      </c>
      <c r="P40" s="478"/>
      <c r="Q40" s="163">
        <v>0</v>
      </c>
      <c r="R40" s="159">
        <f t="shared" si="24"/>
        <v>61530</v>
      </c>
      <c r="S40" s="235">
        <f t="shared" si="26"/>
        <v>0</v>
      </c>
      <c r="T40" s="328">
        <v>1</v>
      </c>
      <c r="U40" s="330">
        <f t="shared" si="20"/>
        <v>1000</v>
      </c>
      <c r="V40" s="68">
        <f t="shared" si="15"/>
        <v>0</v>
      </c>
      <c r="W40" s="426"/>
      <c r="X40" s="27">
        <v>20</v>
      </c>
      <c r="Y40" s="17" t="s">
        <v>198</v>
      </c>
      <c r="Z40" s="477" t="s">
        <v>153</v>
      </c>
      <c r="AA40" s="478"/>
      <c r="AB40" s="163">
        <v>0</v>
      </c>
      <c r="AC40" s="163">
        <f>AC8</f>
        <v>14</v>
      </c>
      <c r="AD40" s="235">
        <f t="shared" si="27"/>
        <v>0</v>
      </c>
      <c r="AE40" s="328">
        <v>1</v>
      </c>
      <c r="AF40" s="328">
        <v>1000</v>
      </c>
      <c r="AG40" s="68">
        <f t="shared" si="16"/>
        <v>0</v>
      </c>
      <c r="AH40" s="426"/>
      <c r="AI40" s="280">
        <f t="shared" si="22"/>
        <v>16</v>
      </c>
      <c r="AJ40" s="62">
        <f t="shared" si="23"/>
        <v>16000</v>
      </c>
    </row>
    <row r="41" spans="1:38" ht="15" hidden="1" customHeight="1" outlineLevel="2">
      <c r="A41" s="27">
        <v>24</v>
      </c>
      <c r="B41" s="17"/>
      <c r="C41" s="410"/>
      <c r="D41" s="411"/>
      <c r="E41" s="50"/>
      <c r="F41" s="8">
        <f>F8</f>
        <v>172475</v>
      </c>
      <c r="G41" s="72">
        <f t="shared" si="25"/>
        <v>0</v>
      </c>
      <c r="H41" s="331"/>
      <c r="I41" s="331"/>
      <c r="J41" s="210">
        <f t="shared" si="14"/>
        <v>0</v>
      </c>
      <c r="K41" s="165"/>
      <c r="L41" s="426"/>
      <c r="M41" s="27">
        <v>24</v>
      </c>
      <c r="N41" s="17"/>
      <c r="O41" s="410"/>
      <c r="P41" s="411"/>
      <c r="Q41" s="50"/>
      <c r="R41" s="159">
        <v>66971</v>
      </c>
      <c r="S41" s="72">
        <f t="shared" si="26"/>
        <v>0</v>
      </c>
      <c r="T41" s="331"/>
      <c r="U41" s="331"/>
      <c r="V41" s="68">
        <f t="shared" si="15"/>
        <v>0</v>
      </c>
      <c r="W41" s="426"/>
      <c r="X41" s="27">
        <v>24</v>
      </c>
      <c r="Y41" s="17"/>
      <c r="Z41" s="410"/>
      <c r="AA41" s="411"/>
      <c r="AB41" s="50"/>
      <c r="AC41" s="8">
        <f>AC8</f>
        <v>14</v>
      </c>
      <c r="AD41" s="72">
        <f t="shared" si="27"/>
        <v>0</v>
      </c>
      <c r="AE41" s="331"/>
      <c r="AF41" s="331"/>
      <c r="AG41" s="68">
        <f t="shared" si="16"/>
        <v>0</v>
      </c>
      <c r="AH41" s="426"/>
      <c r="AI41" s="280"/>
    </row>
    <row r="42" spans="1:38" ht="15" hidden="1" customHeight="1" outlineLevel="2">
      <c r="A42" s="27">
        <v>25</v>
      </c>
      <c r="B42" s="17"/>
      <c r="C42" s="410"/>
      <c r="D42" s="411"/>
      <c r="E42" s="50"/>
      <c r="F42" s="8">
        <f>F8</f>
        <v>172475</v>
      </c>
      <c r="G42" s="72">
        <f t="shared" si="25"/>
        <v>0</v>
      </c>
      <c r="H42" s="331"/>
      <c r="I42" s="331"/>
      <c r="J42" s="210">
        <f t="shared" si="14"/>
        <v>0</v>
      </c>
      <c r="K42" s="165"/>
      <c r="L42" s="426"/>
      <c r="M42" s="27">
        <v>25</v>
      </c>
      <c r="N42" s="17"/>
      <c r="O42" s="410"/>
      <c r="P42" s="411"/>
      <c r="Q42" s="50"/>
      <c r="R42" s="159">
        <v>66971</v>
      </c>
      <c r="S42" s="72">
        <f t="shared" si="26"/>
        <v>0</v>
      </c>
      <c r="T42" s="331"/>
      <c r="U42" s="331"/>
      <c r="V42" s="68">
        <f t="shared" si="15"/>
        <v>0</v>
      </c>
      <c r="W42" s="426"/>
      <c r="X42" s="27">
        <v>25</v>
      </c>
      <c r="Y42" s="17"/>
      <c r="Z42" s="410"/>
      <c r="AA42" s="411"/>
      <c r="AB42" s="50"/>
      <c r="AC42" s="8">
        <f>AC8</f>
        <v>14</v>
      </c>
      <c r="AD42" s="72">
        <f t="shared" si="27"/>
        <v>0</v>
      </c>
      <c r="AE42" s="331"/>
      <c r="AF42" s="331"/>
      <c r="AG42" s="68">
        <f t="shared" si="16"/>
        <v>0</v>
      </c>
      <c r="AH42" s="426"/>
      <c r="AI42" s="280"/>
    </row>
    <row r="43" spans="1:38" ht="15" hidden="1" customHeight="1" outlineLevel="2">
      <c r="A43" s="27">
        <v>26</v>
      </c>
      <c r="B43" s="17"/>
      <c r="C43" s="410"/>
      <c r="D43" s="411"/>
      <c r="E43" s="50"/>
      <c r="F43" s="8">
        <f>F8</f>
        <v>172475</v>
      </c>
      <c r="G43" s="72">
        <f t="shared" ref="G43" si="28">E43/F43</f>
        <v>0</v>
      </c>
      <c r="H43" s="331"/>
      <c r="I43" s="331"/>
      <c r="J43" s="210">
        <f t="shared" si="14"/>
        <v>0</v>
      </c>
      <c r="K43" s="165"/>
      <c r="L43" s="426"/>
      <c r="M43" s="27">
        <v>26</v>
      </c>
      <c r="N43" s="17"/>
      <c r="O43" s="410"/>
      <c r="P43" s="411"/>
      <c r="Q43" s="50"/>
      <c r="R43" s="159">
        <v>66971</v>
      </c>
      <c r="S43" s="72">
        <f t="shared" si="26"/>
        <v>0</v>
      </c>
      <c r="T43" s="331"/>
      <c r="U43" s="331"/>
      <c r="V43" s="68">
        <f t="shared" si="15"/>
        <v>0</v>
      </c>
      <c r="W43" s="426"/>
      <c r="X43" s="27">
        <v>26</v>
      </c>
      <c r="Y43" s="17"/>
      <c r="Z43" s="410"/>
      <c r="AA43" s="411"/>
      <c r="AB43" s="50"/>
      <c r="AC43" s="8">
        <f>AC8</f>
        <v>14</v>
      </c>
      <c r="AD43" s="72">
        <f t="shared" si="27"/>
        <v>0</v>
      </c>
      <c r="AE43" s="331"/>
      <c r="AF43" s="331"/>
      <c r="AG43" s="68">
        <f t="shared" si="16"/>
        <v>0</v>
      </c>
      <c r="AH43" s="426"/>
      <c r="AI43" s="280"/>
    </row>
    <row r="44" spans="1:38" ht="15" customHeight="1" outlineLevel="2">
      <c r="A44" s="491" t="s">
        <v>41</v>
      </c>
      <c r="B44" s="492"/>
      <c r="C44" s="492"/>
      <c r="D44" s="492"/>
      <c r="E44" s="492"/>
      <c r="F44" s="492"/>
      <c r="G44" s="492"/>
      <c r="H44" s="492"/>
      <c r="I44" s="493"/>
      <c r="J44" s="209">
        <f>SUM(J21:J43)</f>
        <v>0.31931004493404841</v>
      </c>
      <c r="K44" s="157"/>
      <c r="L44" s="426"/>
      <c r="M44" s="482" t="s">
        <v>41</v>
      </c>
      <c r="N44" s="483"/>
      <c r="O44" s="483"/>
      <c r="P44" s="483"/>
      <c r="Q44" s="483"/>
      <c r="R44" s="483"/>
      <c r="S44" s="483"/>
      <c r="T44" s="483"/>
      <c r="U44" s="484"/>
      <c r="V44" s="35">
        <f>SUM(V21:V43)</f>
        <v>0.52439460425808548</v>
      </c>
      <c r="W44" s="427"/>
      <c r="X44" s="482" t="s">
        <v>41</v>
      </c>
      <c r="Y44" s="483"/>
      <c r="Z44" s="483"/>
      <c r="AA44" s="483"/>
      <c r="AB44" s="483"/>
      <c r="AC44" s="483"/>
      <c r="AD44" s="483"/>
      <c r="AE44" s="483"/>
      <c r="AF44" s="484"/>
      <c r="AG44" s="35">
        <f>SUM(AG21:AG43)</f>
        <v>322.92857142857144</v>
      </c>
      <c r="AH44" s="427"/>
      <c r="AI44" s="268"/>
      <c r="AJ44" s="249">
        <f>SUM(AJ21:AJ43)</f>
        <v>91860</v>
      </c>
      <c r="AK44" s="320">
        <v>340</v>
      </c>
      <c r="AL44" s="134" t="s">
        <v>245</v>
      </c>
    </row>
    <row r="45" spans="1:38" s="85" customFormat="1" outlineLevel="2">
      <c r="A45" s="191"/>
      <c r="B45" s="155"/>
      <c r="C45" s="155"/>
      <c r="D45" s="155"/>
      <c r="E45" s="155"/>
      <c r="F45" s="155"/>
      <c r="G45" s="155"/>
      <c r="H45" s="297"/>
      <c r="I45" s="348"/>
      <c r="J45" s="156"/>
      <c r="K45" s="157"/>
      <c r="L45" s="427"/>
      <c r="M45" s="191"/>
      <c r="N45" s="155"/>
      <c r="O45" s="155"/>
      <c r="P45" s="155"/>
      <c r="Q45" s="155"/>
      <c r="R45" s="155"/>
      <c r="S45" s="155"/>
      <c r="T45" s="297"/>
      <c r="U45" s="348"/>
      <c r="V45" s="156"/>
      <c r="W45" s="158"/>
      <c r="X45" s="191"/>
      <c r="Y45" s="155"/>
      <c r="Z45" s="155"/>
      <c r="AA45" s="308"/>
      <c r="AB45" s="155"/>
      <c r="AC45" s="155"/>
      <c r="AD45" s="155"/>
      <c r="AE45" s="297"/>
      <c r="AF45" s="348"/>
      <c r="AG45" s="156"/>
      <c r="AH45" s="158"/>
      <c r="AI45" s="281"/>
      <c r="AJ45" s="257">
        <f>V44*R40+J44*F40+AG44*AC40</f>
        <v>91860</v>
      </c>
      <c r="AK45" s="382">
        <v>91860</v>
      </c>
      <c r="AL45" s="271"/>
    </row>
    <row r="46" spans="1:38" s="37" customFormat="1" ht="68.25" customHeight="1">
      <c r="A46" s="36" t="s">
        <v>1</v>
      </c>
      <c r="B46" s="36" t="s">
        <v>3</v>
      </c>
      <c r="C46" s="420"/>
      <c r="D46" s="421"/>
      <c r="E46" s="36" t="s">
        <v>56</v>
      </c>
      <c r="F46" s="36" t="s">
        <v>2</v>
      </c>
      <c r="G46" s="31" t="s">
        <v>53</v>
      </c>
      <c r="H46" s="327" t="s">
        <v>55</v>
      </c>
      <c r="I46" s="327" t="s">
        <v>68</v>
      </c>
      <c r="J46" s="31" t="s">
        <v>5</v>
      </c>
      <c r="K46" s="127"/>
      <c r="L46" s="31" t="s">
        <v>0</v>
      </c>
      <c r="M46" s="36" t="s">
        <v>1</v>
      </c>
      <c r="N46" s="36" t="s">
        <v>3</v>
      </c>
      <c r="O46" s="420"/>
      <c r="P46" s="421"/>
      <c r="Q46" s="36" t="s">
        <v>56</v>
      </c>
      <c r="R46" s="36" t="s">
        <v>2</v>
      </c>
      <c r="S46" s="31" t="s">
        <v>53</v>
      </c>
      <c r="T46" s="327" t="s">
        <v>55</v>
      </c>
      <c r="U46" s="327" t="s">
        <v>68</v>
      </c>
      <c r="V46" s="31" t="s">
        <v>5</v>
      </c>
      <c r="W46" s="31" t="s">
        <v>0</v>
      </c>
      <c r="X46" s="36" t="s">
        <v>1</v>
      </c>
      <c r="Y46" s="36" t="s">
        <v>3</v>
      </c>
      <c r="Z46" s="420"/>
      <c r="AA46" s="421"/>
      <c r="AB46" s="36" t="s">
        <v>56</v>
      </c>
      <c r="AC46" s="36" t="s">
        <v>2</v>
      </c>
      <c r="AD46" s="31" t="s">
        <v>53</v>
      </c>
      <c r="AE46" s="327" t="s">
        <v>55</v>
      </c>
      <c r="AF46" s="327" t="s">
        <v>68</v>
      </c>
      <c r="AG46" s="31" t="s">
        <v>5</v>
      </c>
      <c r="AH46" s="31" t="s">
        <v>0</v>
      </c>
      <c r="AI46" s="275"/>
      <c r="AJ46" s="292">
        <f>AK45-AJ44</f>
        <v>0</v>
      </c>
      <c r="AK46" s="319"/>
      <c r="AL46" s="319"/>
    </row>
    <row r="47" spans="1:38">
      <c r="A47" s="31">
        <v>1</v>
      </c>
      <c r="B47" s="31">
        <v>2</v>
      </c>
      <c r="C47" s="414"/>
      <c r="D47" s="415"/>
      <c r="E47" s="31">
        <v>3</v>
      </c>
      <c r="F47" s="31">
        <v>4</v>
      </c>
      <c r="G47" s="31" t="s">
        <v>71</v>
      </c>
      <c r="H47" s="327">
        <v>6</v>
      </c>
      <c r="I47" s="327">
        <v>7</v>
      </c>
      <c r="J47" s="31" t="s">
        <v>54</v>
      </c>
      <c r="K47" s="127"/>
      <c r="L47" s="31">
        <v>9</v>
      </c>
      <c r="M47" s="31">
        <v>1</v>
      </c>
      <c r="N47" s="31">
        <v>2</v>
      </c>
      <c r="O47" s="414"/>
      <c r="P47" s="415"/>
      <c r="Q47" s="31">
        <v>3</v>
      </c>
      <c r="R47" s="31">
        <v>4</v>
      </c>
      <c r="S47" s="31" t="s">
        <v>71</v>
      </c>
      <c r="T47" s="327">
        <v>6</v>
      </c>
      <c r="U47" s="327">
        <v>7</v>
      </c>
      <c r="V47" s="31" t="s">
        <v>54</v>
      </c>
      <c r="W47" s="31">
        <v>9</v>
      </c>
      <c r="X47" s="31">
        <v>1</v>
      </c>
      <c r="Y47" s="31">
        <v>2</v>
      </c>
      <c r="Z47" s="414"/>
      <c r="AA47" s="415"/>
      <c r="AB47" s="31">
        <v>3</v>
      </c>
      <c r="AC47" s="31">
        <v>4</v>
      </c>
      <c r="AD47" s="31" t="s">
        <v>71</v>
      </c>
      <c r="AE47" s="327">
        <v>6</v>
      </c>
      <c r="AF47" s="327">
        <v>7</v>
      </c>
      <c r="AG47" s="31" t="s">
        <v>54</v>
      </c>
      <c r="AH47" s="31">
        <v>9</v>
      </c>
      <c r="AI47" s="275"/>
    </row>
    <row r="48" spans="1:38">
      <c r="A48" s="416" t="s">
        <v>8</v>
      </c>
      <c r="B48" s="412"/>
      <c r="C48" s="412"/>
      <c r="D48" s="412"/>
      <c r="E48" s="412"/>
      <c r="F48" s="412"/>
      <c r="G48" s="412"/>
      <c r="H48" s="412"/>
      <c r="I48" s="412"/>
      <c r="J48" s="412"/>
      <c r="K48" s="412"/>
      <c r="L48" s="413"/>
      <c r="M48" s="416" t="s">
        <v>8</v>
      </c>
      <c r="N48" s="412"/>
      <c r="O48" s="412"/>
      <c r="P48" s="412"/>
      <c r="Q48" s="412"/>
      <c r="R48" s="412"/>
      <c r="S48" s="412"/>
      <c r="T48" s="412"/>
      <c r="U48" s="412"/>
      <c r="V48" s="412"/>
      <c r="W48" s="412"/>
      <c r="X48" s="416" t="s">
        <v>8</v>
      </c>
      <c r="Y48" s="412"/>
      <c r="Z48" s="412"/>
      <c r="AA48" s="412"/>
      <c r="AB48" s="412"/>
      <c r="AC48" s="412"/>
      <c r="AD48" s="412"/>
      <c r="AE48" s="412"/>
      <c r="AF48" s="412"/>
      <c r="AG48" s="412"/>
      <c r="AH48" s="412"/>
      <c r="AI48" s="276"/>
      <c r="AJ48" s="126"/>
      <c r="AK48" s="150"/>
      <c r="AL48" s="150">
        <f>AK49+AK125</f>
        <v>270000</v>
      </c>
    </row>
    <row r="49" spans="1:39" ht="15" customHeight="1" outlineLevel="2">
      <c r="A49" s="196">
        <v>1</v>
      </c>
      <c r="B49" s="211" t="s">
        <v>98</v>
      </c>
      <c r="C49" s="475" t="s">
        <v>241</v>
      </c>
      <c r="D49" s="476"/>
      <c r="E49" s="184">
        <f>ROUND(1/234019*F49,6)</f>
        <v>0.73701300000000003</v>
      </c>
      <c r="F49" s="198">
        <f>F8</f>
        <v>172475</v>
      </c>
      <c r="G49" s="199">
        <f t="shared" ref="G49:G54" si="29">E49/F49</f>
        <v>4.2731584287577908E-6</v>
      </c>
      <c r="H49" s="353">
        <v>1</v>
      </c>
      <c r="I49" s="324">
        <f>U49</f>
        <v>190000</v>
      </c>
      <c r="J49" s="208">
        <f>IFERROR(G49*I49/H49,0)</f>
        <v>0.81190010146398028</v>
      </c>
      <c r="K49" s="171"/>
      <c r="L49" s="485" t="s">
        <v>160</v>
      </c>
      <c r="M49" s="234">
        <v>1</v>
      </c>
      <c r="N49" s="236" t="s">
        <v>98</v>
      </c>
      <c r="O49" s="475" t="s">
        <v>241</v>
      </c>
      <c r="P49" s="476"/>
      <c r="Q49" s="184">
        <f>ROUND(1/234019*R49,6)</f>
        <v>0.26292700000000002</v>
      </c>
      <c r="R49" s="159">
        <f>R40</f>
        <v>61530</v>
      </c>
      <c r="S49" s="167">
        <f>Q49/R49</f>
        <v>4.273151308304892E-6</v>
      </c>
      <c r="T49" s="330">
        <v>1</v>
      </c>
      <c r="U49" s="331">
        <f>AF49</f>
        <v>190000</v>
      </c>
      <c r="V49" s="34">
        <f>IFERROR(S49*U49/T49,0)</f>
        <v>0.81189874857792954</v>
      </c>
      <c r="W49" s="485" t="s">
        <v>160</v>
      </c>
      <c r="X49" s="234">
        <v>1</v>
      </c>
      <c r="Y49" s="236" t="s">
        <v>98</v>
      </c>
      <c r="Z49" s="475" t="s">
        <v>241</v>
      </c>
      <c r="AA49" s="476"/>
      <c r="AB49" s="184">
        <f>ROUND(1/234019*AC49,6)</f>
        <v>6.0000000000000002E-5</v>
      </c>
      <c r="AC49" s="159">
        <f>AC8</f>
        <v>14</v>
      </c>
      <c r="AD49" s="167">
        <f>AB49/AC49</f>
        <v>4.2857142857142855E-6</v>
      </c>
      <c r="AE49" s="330">
        <v>1</v>
      </c>
      <c r="AF49" s="331">
        <v>190000</v>
      </c>
      <c r="AG49" s="34">
        <f>IFERROR(AD49*AF49/AE49,0)</f>
        <v>0.81428571428571428</v>
      </c>
      <c r="AH49" s="485" t="s">
        <v>160</v>
      </c>
      <c r="AI49" s="282">
        <f>AB49+Q49+E49</f>
        <v>1</v>
      </c>
      <c r="AJ49" s="132">
        <v>226</v>
      </c>
      <c r="AK49" s="368">
        <f>V49*R49+J49*F49+AG49*AC49</f>
        <v>190000</v>
      </c>
      <c r="AL49" s="373">
        <v>270000</v>
      </c>
      <c r="AM49" s="148">
        <f>AL49-AL48</f>
        <v>0</v>
      </c>
    </row>
    <row r="50" spans="1:39" ht="30" outlineLevel="2">
      <c r="A50" s="196">
        <v>2</v>
      </c>
      <c r="B50" s="211" t="s">
        <v>99</v>
      </c>
      <c r="C50" s="475" t="s">
        <v>241</v>
      </c>
      <c r="D50" s="476"/>
      <c r="E50" s="184">
        <f t="shared" ref="E50:E53" si="30">ROUND(1/234019*F50,6)</f>
        <v>0.73701300000000003</v>
      </c>
      <c r="F50" s="198">
        <f>F8</f>
        <v>172475</v>
      </c>
      <c r="G50" s="199">
        <f t="shared" si="29"/>
        <v>4.2731584287577908E-6</v>
      </c>
      <c r="H50" s="353">
        <v>1</v>
      </c>
      <c r="I50" s="324">
        <f t="shared" ref="I50:I53" si="31">U50</f>
        <v>97200</v>
      </c>
      <c r="J50" s="208">
        <f t="shared" ref="J50:J53" si="32">IFERROR(G50*I50/H50,0)</f>
        <v>0.41535099927525726</v>
      </c>
      <c r="K50" s="172"/>
      <c r="L50" s="486"/>
      <c r="M50" s="234">
        <v>2</v>
      </c>
      <c r="N50" s="236" t="s">
        <v>99</v>
      </c>
      <c r="O50" s="475" t="s">
        <v>241</v>
      </c>
      <c r="P50" s="476"/>
      <c r="Q50" s="184">
        <f t="shared" ref="Q50:Q53" si="33">ROUND(1/234019*R50,6)</f>
        <v>0.26292700000000002</v>
      </c>
      <c r="R50" s="159">
        <f>R49</f>
        <v>61530</v>
      </c>
      <c r="S50" s="167">
        <f t="shared" ref="S50:S63" si="34">Q50/R50</f>
        <v>4.273151308304892E-6</v>
      </c>
      <c r="T50" s="330">
        <v>1</v>
      </c>
      <c r="U50" s="331">
        <f t="shared" ref="U50:U53" si="35">AF50</f>
        <v>97200</v>
      </c>
      <c r="V50" s="34">
        <f t="shared" ref="V50:V53" si="36">IFERROR(S50*U50/T50,0)</f>
        <v>0.41535030716723553</v>
      </c>
      <c r="W50" s="486"/>
      <c r="X50" s="234">
        <v>2</v>
      </c>
      <c r="Y50" s="236" t="s">
        <v>99</v>
      </c>
      <c r="Z50" s="475" t="s">
        <v>241</v>
      </c>
      <c r="AA50" s="476"/>
      <c r="AB50" s="184">
        <f t="shared" ref="AB50:AB53" si="37">ROUND(1/234019*AC50,6)</f>
        <v>6.0000000000000002E-5</v>
      </c>
      <c r="AC50" s="159">
        <f>AC8</f>
        <v>14</v>
      </c>
      <c r="AD50" s="167">
        <f t="shared" ref="AD50:AD63" si="38">AB50/AC50</f>
        <v>4.2857142857142855E-6</v>
      </c>
      <c r="AE50" s="330">
        <v>1</v>
      </c>
      <c r="AF50" s="331">
        <v>97200</v>
      </c>
      <c r="AG50" s="34">
        <f t="shared" ref="AG50:AG53" si="39">IFERROR(AD50*AF50/AE50,0)</f>
        <v>0.41657142857142854</v>
      </c>
      <c r="AH50" s="486"/>
      <c r="AI50" s="282">
        <f t="shared" ref="AI50:AI53" si="40">AB50+Q50+E50</f>
        <v>1</v>
      </c>
      <c r="AJ50" s="132">
        <v>212</v>
      </c>
      <c r="AK50" s="368">
        <f>V50*R50+J50*F50+AG50*AC50</f>
        <v>97200</v>
      </c>
      <c r="AL50" s="372">
        <f>AG159</f>
        <v>97200</v>
      </c>
      <c r="AM50" s="360">
        <f>AL50-AK50</f>
        <v>0</v>
      </c>
    </row>
    <row r="51" spans="1:39" ht="30" customHeight="1" outlineLevel="2">
      <c r="A51" s="196">
        <v>3</v>
      </c>
      <c r="B51" s="211" t="s">
        <v>124</v>
      </c>
      <c r="C51" s="475" t="s">
        <v>241</v>
      </c>
      <c r="D51" s="476"/>
      <c r="E51" s="184">
        <f t="shared" si="30"/>
        <v>0.73701300000000003</v>
      </c>
      <c r="F51" s="198">
        <f>F11</f>
        <v>172475</v>
      </c>
      <c r="G51" s="199">
        <f t="shared" si="29"/>
        <v>4.2731584287577908E-6</v>
      </c>
      <c r="H51" s="353">
        <v>1</v>
      </c>
      <c r="I51" s="324">
        <f t="shared" si="31"/>
        <v>68800</v>
      </c>
      <c r="J51" s="208">
        <f t="shared" si="32"/>
        <v>0.29399329989853601</v>
      </c>
      <c r="K51" s="172"/>
      <c r="L51" s="486"/>
      <c r="M51" s="234">
        <v>3</v>
      </c>
      <c r="N51" s="236" t="s">
        <v>124</v>
      </c>
      <c r="O51" s="475" t="s">
        <v>241</v>
      </c>
      <c r="P51" s="476"/>
      <c r="Q51" s="184">
        <f t="shared" si="33"/>
        <v>0.26292700000000002</v>
      </c>
      <c r="R51" s="159">
        <f t="shared" ref="R51:R53" si="41">R50</f>
        <v>61530</v>
      </c>
      <c r="S51" s="167">
        <f t="shared" si="34"/>
        <v>4.273151308304892E-6</v>
      </c>
      <c r="T51" s="330">
        <v>1</v>
      </c>
      <c r="U51" s="331">
        <f t="shared" si="35"/>
        <v>68800</v>
      </c>
      <c r="V51" s="34">
        <f t="shared" si="36"/>
        <v>0.29399281001137656</v>
      </c>
      <c r="W51" s="486"/>
      <c r="X51" s="234">
        <v>3</v>
      </c>
      <c r="Y51" s="236" t="s">
        <v>124</v>
      </c>
      <c r="Z51" s="475" t="s">
        <v>241</v>
      </c>
      <c r="AA51" s="476"/>
      <c r="AB51" s="184">
        <f t="shared" si="37"/>
        <v>6.0000000000000002E-5</v>
      </c>
      <c r="AC51" s="159">
        <f>AC11</f>
        <v>14</v>
      </c>
      <c r="AD51" s="167">
        <f t="shared" si="38"/>
        <v>4.2857142857142855E-6</v>
      </c>
      <c r="AE51" s="330">
        <v>1</v>
      </c>
      <c r="AF51" s="331">
        <v>68800</v>
      </c>
      <c r="AG51" s="34">
        <f t="shared" si="39"/>
        <v>0.29485714285714282</v>
      </c>
      <c r="AH51" s="486"/>
      <c r="AI51" s="282">
        <f t="shared" si="40"/>
        <v>1</v>
      </c>
      <c r="AJ51" s="132">
        <v>226</v>
      </c>
      <c r="AK51" s="368">
        <f t="shared" ref="AK51:AK53" si="42">V51*R51+J51*F51+AG51*AC51</f>
        <v>68800</v>
      </c>
      <c r="AL51" s="373">
        <v>68800</v>
      </c>
      <c r="AM51" s="148">
        <f t="shared" ref="AM51:AM53" si="43">AL51-AK51</f>
        <v>0</v>
      </c>
    </row>
    <row r="52" spans="1:39" ht="60" customHeight="1" outlineLevel="2">
      <c r="A52" s="196">
        <v>4</v>
      </c>
      <c r="B52" s="211" t="s">
        <v>100</v>
      </c>
      <c r="C52" s="475" t="s">
        <v>241</v>
      </c>
      <c r="D52" s="476"/>
      <c r="E52" s="184">
        <f t="shared" si="30"/>
        <v>0.73701300000000003</v>
      </c>
      <c r="F52" s="198">
        <f>F8</f>
        <v>172475</v>
      </c>
      <c r="G52" s="199">
        <f t="shared" si="29"/>
        <v>4.2731584287577908E-6</v>
      </c>
      <c r="H52" s="353">
        <v>1</v>
      </c>
      <c r="I52" s="324">
        <f t="shared" si="31"/>
        <v>1486805.5</v>
      </c>
      <c r="J52" s="208">
        <f t="shared" si="32"/>
        <v>6.3533554542484412</v>
      </c>
      <c r="K52" s="172"/>
      <c r="L52" s="486"/>
      <c r="M52" s="234">
        <v>4</v>
      </c>
      <c r="N52" s="236" t="s">
        <v>100</v>
      </c>
      <c r="O52" s="475" t="s">
        <v>241</v>
      </c>
      <c r="P52" s="476"/>
      <c r="Q52" s="184">
        <f t="shared" si="33"/>
        <v>0.26292700000000002</v>
      </c>
      <c r="R52" s="159">
        <f t="shared" si="41"/>
        <v>61530</v>
      </c>
      <c r="S52" s="167">
        <f t="shared" si="34"/>
        <v>4.273151308304892E-6</v>
      </c>
      <c r="T52" s="330">
        <v>1</v>
      </c>
      <c r="U52" s="331">
        <f t="shared" si="35"/>
        <v>1486805.5</v>
      </c>
      <c r="V52" s="34">
        <f t="shared" si="36"/>
        <v>6.3533448675199091</v>
      </c>
      <c r="W52" s="486"/>
      <c r="X52" s="234">
        <v>4</v>
      </c>
      <c r="Y52" s="236" t="s">
        <v>100</v>
      </c>
      <c r="Z52" s="475" t="s">
        <v>241</v>
      </c>
      <c r="AA52" s="476"/>
      <c r="AB52" s="184">
        <f t="shared" si="37"/>
        <v>6.0000000000000002E-5</v>
      </c>
      <c r="AC52" s="159">
        <f>AC8</f>
        <v>14</v>
      </c>
      <c r="AD52" s="167">
        <f t="shared" si="38"/>
        <v>4.2857142857142855E-6</v>
      </c>
      <c r="AE52" s="330">
        <v>1</v>
      </c>
      <c r="AF52" s="331">
        <v>1486805.5</v>
      </c>
      <c r="AG52" s="34">
        <f t="shared" si="39"/>
        <v>6.3720235714285707</v>
      </c>
      <c r="AH52" s="486"/>
      <c r="AI52" s="282">
        <f t="shared" si="40"/>
        <v>1</v>
      </c>
      <c r="AJ52" s="126">
        <v>226</v>
      </c>
      <c r="AK52" s="368">
        <f t="shared" si="42"/>
        <v>1486805.5</v>
      </c>
      <c r="AL52" s="373">
        <v>1486805.5</v>
      </c>
      <c r="AM52" s="148">
        <f t="shared" si="43"/>
        <v>0</v>
      </c>
    </row>
    <row r="53" spans="1:39" ht="30" outlineLevel="2">
      <c r="A53" s="196">
        <v>5</v>
      </c>
      <c r="B53" s="211" t="s">
        <v>101</v>
      </c>
      <c r="C53" s="475" t="s">
        <v>241</v>
      </c>
      <c r="D53" s="476"/>
      <c r="E53" s="184">
        <f t="shared" si="30"/>
        <v>0.73701300000000003</v>
      </c>
      <c r="F53" s="198">
        <f>F8</f>
        <v>172475</v>
      </c>
      <c r="G53" s="199">
        <f t="shared" si="29"/>
        <v>4.2731584287577908E-6</v>
      </c>
      <c r="H53" s="353">
        <v>1</v>
      </c>
      <c r="I53" s="324">
        <f t="shared" si="31"/>
        <v>0</v>
      </c>
      <c r="J53" s="208">
        <f t="shared" si="32"/>
        <v>0</v>
      </c>
      <c r="K53" s="172"/>
      <c r="L53" s="486"/>
      <c r="M53" s="234">
        <v>5</v>
      </c>
      <c r="N53" s="236" t="s">
        <v>101</v>
      </c>
      <c r="O53" s="475" t="s">
        <v>241</v>
      </c>
      <c r="P53" s="476"/>
      <c r="Q53" s="184">
        <f t="shared" si="33"/>
        <v>0.26292700000000002</v>
      </c>
      <c r="R53" s="159">
        <f t="shared" si="41"/>
        <v>61530</v>
      </c>
      <c r="S53" s="167">
        <f t="shared" si="34"/>
        <v>4.273151308304892E-6</v>
      </c>
      <c r="T53" s="330">
        <v>1</v>
      </c>
      <c r="U53" s="331">
        <f t="shared" si="35"/>
        <v>0</v>
      </c>
      <c r="V53" s="34">
        <f t="shared" si="36"/>
        <v>0</v>
      </c>
      <c r="W53" s="486"/>
      <c r="X53" s="234">
        <v>5</v>
      </c>
      <c r="Y53" s="236" t="s">
        <v>101</v>
      </c>
      <c r="Z53" s="475" t="s">
        <v>241</v>
      </c>
      <c r="AA53" s="476"/>
      <c r="AB53" s="184">
        <f t="shared" si="37"/>
        <v>6.0000000000000002E-5</v>
      </c>
      <c r="AC53" s="159">
        <f>AC8</f>
        <v>14</v>
      </c>
      <c r="AD53" s="167">
        <f t="shared" si="38"/>
        <v>4.2857142857142855E-6</v>
      </c>
      <c r="AE53" s="330">
        <v>1</v>
      </c>
      <c r="AF53" s="331">
        <v>0</v>
      </c>
      <c r="AG53" s="34">
        <f t="shared" si="39"/>
        <v>0</v>
      </c>
      <c r="AH53" s="486"/>
      <c r="AI53" s="282">
        <f t="shared" si="40"/>
        <v>1</v>
      </c>
      <c r="AJ53" s="126">
        <v>290</v>
      </c>
      <c r="AK53" s="368">
        <f t="shared" si="42"/>
        <v>0</v>
      </c>
      <c r="AL53" s="150">
        <v>0</v>
      </c>
      <c r="AM53" s="148">
        <f t="shared" si="43"/>
        <v>0</v>
      </c>
    </row>
    <row r="54" spans="1:39" ht="15" hidden="1" customHeight="1" outlineLevel="2">
      <c r="A54" s="196">
        <v>8</v>
      </c>
      <c r="B54" s="197"/>
      <c r="C54" s="197"/>
      <c r="D54" s="200"/>
      <c r="E54" s="201"/>
      <c r="F54" s="202">
        <f>F8</f>
        <v>172475</v>
      </c>
      <c r="G54" s="200">
        <f t="shared" si="29"/>
        <v>0</v>
      </c>
      <c r="H54" s="324">
        <v>1</v>
      </c>
      <c r="I54" s="324">
        <f t="shared" ref="I54:I63" si="44">U54</f>
        <v>7000</v>
      </c>
      <c r="J54" s="208">
        <f t="shared" ref="J54:J63" si="45">IFERROR(G54*I54/H54,0)</f>
        <v>0</v>
      </c>
      <c r="K54" s="172"/>
      <c r="L54" s="486"/>
      <c r="M54" s="27">
        <v>8</v>
      </c>
      <c r="N54" s="74"/>
      <c r="O54" s="79"/>
      <c r="P54" s="15"/>
      <c r="Q54" s="1"/>
      <c r="R54" s="8">
        <f>R8</f>
        <v>61530</v>
      </c>
      <c r="S54" s="15">
        <f t="shared" si="34"/>
        <v>0</v>
      </c>
      <c r="T54" s="331">
        <v>1</v>
      </c>
      <c r="U54" s="331">
        <v>7000</v>
      </c>
      <c r="V54" s="34">
        <f t="shared" ref="V54:V63" si="46">IFERROR(S54*U54/T54,0)</f>
        <v>0</v>
      </c>
      <c r="W54" s="486"/>
      <c r="X54" s="27">
        <v>8</v>
      </c>
      <c r="Y54" s="74"/>
      <c r="Z54" s="79"/>
      <c r="AA54" s="309"/>
      <c r="AB54" s="1">
        <v>0</v>
      </c>
      <c r="AC54" s="8">
        <f>AC8</f>
        <v>14</v>
      </c>
      <c r="AD54" s="15">
        <f t="shared" si="38"/>
        <v>0</v>
      </c>
      <c r="AE54" s="331">
        <v>1</v>
      </c>
      <c r="AF54" s="331">
        <v>7000</v>
      </c>
      <c r="AG54" s="34">
        <f t="shared" ref="AG54:AG63" si="47">IFERROR(AD54*AF54/AE54,0)</f>
        <v>0</v>
      </c>
      <c r="AH54" s="486"/>
      <c r="AI54" s="282"/>
      <c r="AJ54" s="126"/>
      <c r="AK54" s="321"/>
      <c r="AL54" s="150"/>
    </row>
    <row r="55" spans="1:39" ht="15" hidden="1" customHeight="1" outlineLevel="2">
      <c r="A55" s="196">
        <v>9</v>
      </c>
      <c r="B55" s="197"/>
      <c r="C55" s="197"/>
      <c r="D55" s="200"/>
      <c r="E55" s="201"/>
      <c r="F55" s="202">
        <f t="shared" ref="F55:F62" si="48">F8</f>
        <v>172475</v>
      </c>
      <c r="G55" s="200">
        <f t="shared" ref="G55:G63" si="49">E55/F55</f>
        <v>0</v>
      </c>
      <c r="H55" s="324">
        <v>1</v>
      </c>
      <c r="I55" s="324">
        <f t="shared" si="44"/>
        <v>7000</v>
      </c>
      <c r="J55" s="208">
        <f t="shared" si="45"/>
        <v>0</v>
      </c>
      <c r="K55" s="172"/>
      <c r="L55" s="486"/>
      <c r="M55" s="27">
        <v>9</v>
      </c>
      <c r="N55" s="74"/>
      <c r="O55" s="79"/>
      <c r="P55" s="15"/>
      <c r="Q55" s="1"/>
      <c r="R55" s="8">
        <f t="shared" ref="R55:R62" si="50">R8</f>
        <v>61530</v>
      </c>
      <c r="S55" s="15">
        <f t="shared" si="34"/>
        <v>0</v>
      </c>
      <c r="T55" s="331">
        <v>1</v>
      </c>
      <c r="U55" s="331">
        <v>7000</v>
      </c>
      <c r="V55" s="34">
        <f t="shared" si="46"/>
        <v>0</v>
      </c>
      <c r="W55" s="486"/>
      <c r="X55" s="27">
        <v>9</v>
      </c>
      <c r="Y55" s="74"/>
      <c r="Z55" s="79"/>
      <c r="AA55" s="309"/>
      <c r="AB55" s="1">
        <v>0</v>
      </c>
      <c r="AC55" s="8">
        <f t="shared" ref="AC55:AC62" si="51">AC8</f>
        <v>14</v>
      </c>
      <c r="AD55" s="15">
        <f t="shared" si="38"/>
        <v>0</v>
      </c>
      <c r="AE55" s="331">
        <v>1</v>
      </c>
      <c r="AF55" s="331">
        <v>7000</v>
      </c>
      <c r="AG55" s="34">
        <f t="shared" si="47"/>
        <v>0</v>
      </c>
      <c r="AH55" s="486"/>
      <c r="AI55" s="282"/>
      <c r="AJ55" s="126"/>
      <c r="AK55" s="321"/>
      <c r="AL55" s="150"/>
    </row>
    <row r="56" spans="1:39" ht="15" hidden="1" customHeight="1" outlineLevel="2">
      <c r="A56" s="196">
        <v>10</v>
      </c>
      <c r="B56" s="197"/>
      <c r="C56" s="197"/>
      <c r="D56" s="200"/>
      <c r="E56" s="201"/>
      <c r="F56" s="202">
        <f t="shared" si="48"/>
        <v>172475</v>
      </c>
      <c r="G56" s="200">
        <f t="shared" ref="G56:G57" si="52">E56/F56</f>
        <v>0</v>
      </c>
      <c r="H56" s="324">
        <v>1</v>
      </c>
      <c r="I56" s="324">
        <f t="shared" si="44"/>
        <v>7000</v>
      </c>
      <c r="J56" s="208">
        <f t="shared" si="45"/>
        <v>0</v>
      </c>
      <c r="K56" s="172"/>
      <c r="L56" s="486"/>
      <c r="M56" s="27">
        <v>10</v>
      </c>
      <c r="N56" s="74"/>
      <c r="O56" s="79"/>
      <c r="P56" s="15"/>
      <c r="Q56" s="1"/>
      <c r="R56" s="8">
        <f t="shared" si="50"/>
        <v>61530</v>
      </c>
      <c r="S56" s="15">
        <f t="shared" si="34"/>
        <v>0</v>
      </c>
      <c r="T56" s="331">
        <v>1</v>
      </c>
      <c r="U56" s="331">
        <v>7000</v>
      </c>
      <c r="V56" s="34">
        <f t="shared" si="46"/>
        <v>0</v>
      </c>
      <c r="W56" s="486"/>
      <c r="X56" s="27">
        <v>10</v>
      </c>
      <c r="Y56" s="74"/>
      <c r="Z56" s="79"/>
      <c r="AA56" s="309"/>
      <c r="AB56" s="1">
        <v>0</v>
      </c>
      <c r="AC56" s="8">
        <f t="shared" si="51"/>
        <v>14</v>
      </c>
      <c r="AD56" s="15">
        <f t="shared" si="38"/>
        <v>0</v>
      </c>
      <c r="AE56" s="331">
        <v>1</v>
      </c>
      <c r="AF56" s="331">
        <v>7000</v>
      </c>
      <c r="AG56" s="34">
        <f t="shared" si="47"/>
        <v>0</v>
      </c>
      <c r="AH56" s="486"/>
      <c r="AI56" s="282"/>
      <c r="AJ56" s="126"/>
      <c r="AK56" s="321"/>
      <c r="AL56" s="150"/>
    </row>
    <row r="57" spans="1:39" ht="15" hidden="1" customHeight="1" outlineLevel="2">
      <c r="A57" s="196">
        <v>11</v>
      </c>
      <c r="B57" s="197"/>
      <c r="C57" s="197"/>
      <c r="D57" s="200"/>
      <c r="E57" s="201"/>
      <c r="F57" s="202">
        <f t="shared" si="48"/>
        <v>172475</v>
      </c>
      <c r="G57" s="200">
        <f t="shared" si="52"/>
        <v>0</v>
      </c>
      <c r="H57" s="324">
        <v>1</v>
      </c>
      <c r="I57" s="324">
        <f t="shared" si="44"/>
        <v>7000</v>
      </c>
      <c r="J57" s="208">
        <f t="shared" si="45"/>
        <v>0</v>
      </c>
      <c r="K57" s="172"/>
      <c r="L57" s="486"/>
      <c r="M57" s="27">
        <v>11</v>
      </c>
      <c r="N57" s="74"/>
      <c r="O57" s="79"/>
      <c r="P57" s="15"/>
      <c r="Q57" s="1"/>
      <c r="R57" s="8">
        <f t="shared" si="50"/>
        <v>61530</v>
      </c>
      <c r="S57" s="15">
        <f t="shared" si="34"/>
        <v>0</v>
      </c>
      <c r="T57" s="331">
        <v>1</v>
      </c>
      <c r="U57" s="331">
        <v>7000</v>
      </c>
      <c r="V57" s="34">
        <f t="shared" si="46"/>
        <v>0</v>
      </c>
      <c r="W57" s="486"/>
      <c r="X57" s="27">
        <v>11</v>
      </c>
      <c r="Y57" s="74"/>
      <c r="Z57" s="79"/>
      <c r="AA57" s="309"/>
      <c r="AB57" s="1">
        <v>0</v>
      </c>
      <c r="AC57" s="8">
        <f t="shared" si="51"/>
        <v>14</v>
      </c>
      <c r="AD57" s="15">
        <f t="shared" si="38"/>
        <v>0</v>
      </c>
      <c r="AE57" s="331">
        <v>1</v>
      </c>
      <c r="AF57" s="331">
        <v>7000</v>
      </c>
      <c r="AG57" s="34">
        <f t="shared" si="47"/>
        <v>0</v>
      </c>
      <c r="AH57" s="486"/>
      <c r="AI57" s="282"/>
      <c r="AJ57" s="126"/>
      <c r="AK57" s="321"/>
      <c r="AL57" s="150"/>
    </row>
    <row r="58" spans="1:39" ht="15" hidden="1" customHeight="1" outlineLevel="2">
      <c r="A58" s="196">
        <v>11</v>
      </c>
      <c r="B58" s="197"/>
      <c r="C58" s="197"/>
      <c r="D58" s="200"/>
      <c r="E58" s="201"/>
      <c r="F58" s="202">
        <f t="shared" si="48"/>
        <v>172475</v>
      </c>
      <c r="G58" s="200">
        <f t="shared" ref="G58:G61" si="53">E58/F58</f>
        <v>0</v>
      </c>
      <c r="H58" s="324">
        <v>1</v>
      </c>
      <c r="I58" s="324">
        <f t="shared" si="44"/>
        <v>7000</v>
      </c>
      <c r="J58" s="208">
        <f t="shared" si="45"/>
        <v>0</v>
      </c>
      <c r="K58" s="172"/>
      <c r="L58" s="486"/>
      <c r="M58" s="27">
        <v>11</v>
      </c>
      <c r="N58" s="74"/>
      <c r="O58" s="79"/>
      <c r="P58" s="15"/>
      <c r="Q58" s="1"/>
      <c r="R58" s="8">
        <f t="shared" si="50"/>
        <v>61530</v>
      </c>
      <c r="S58" s="15">
        <f t="shared" si="34"/>
        <v>0</v>
      </c>
      <c r="T58" s="331">
        <v>1</v>
      </c>
      <c r="U58" s="331">
        <v>7000</v>
      </c>
      <c r="V58" s="34">
        <f t="shared" si="46"/>
        <v>0</v>
      </c>
      <c r="W58" s="486"/>
      <c r="X58" s="27">
        <v>11</v>
      </c>
      <c r="Y58" s="74"/>
      <c r="Z58" s="79"/>
      <c r="AA58" s="309"/>
      <c r="AB58" s="1">
        <v>0</v>
      </c>
      <c r="AC58" s="8">
        <f t="shared" si="51"/>
        <v>14</v>
      </c>
      <c r="AD58" s="15">
        <f t="shared" si="38"/>
        <v>0</v>
      </c>
      <c r="AE58" s="331">
        <v>1</v>
      </c>
      <c r="AF58" s="331">
        <v>7000</v>
      </c>
      <c r="AG58" s="34">
        <f t="shared" si="47"/>
        <v>0</v>
      </c>
      <c r="AH58" s="486"/>
      <c r="AI58" s="282"/>
      <c r="AJ58" s="126"/>
      <c r="AK58" s="321"/>
      <c r="AL58" s="150"/>
    </row>
    <row r="59" spans="1:39" ht="15" hidden="1" customHeight="1" outlineLevel="2">
      <c r="A59" s="196">
        <v>12</v>
      </c>
      <c r="B59" s="200" t="s">
        <v>23</v>
      </c>
      <c r="C59" s="200"/>
      <c r="D59" s="200"/>
      <c r="E59" s="201"/>
      <c r="F59" s="202">
        <f t="shared" si="48"/>
        <v>172475</v>
      </c>
      <c r="G59" s="200">
        <f t="shared" si="53"/>
        <v>0</v>
      </c>
      <c r="H59" s="324">
        <v>1</v>
      </c>
      <c r="I59" s="324">
        <f t="shared" si="44"/>
        <v>7000</v>
      </c>
      <c r="J59" s="208">
        <f t="shared" si="45"/>
        <v>0</v>
      </c>
      <c r="K59" s="172"/>
      <c r="L59" s="486"/>
      <c r="M59" s="27">
        <v>12</v>
      </c>
      <c r="N59" s="15" t="s">
        <v>23</v>
      </c>
      <c r="O59" s="75"/>
      <c r="P59" s="15"/>
      <c r="Q59" s="1"/>
      <c r="R59" s="8">
        <f t="shared" si="50"/>
        <v>61530</v>
      </c>
      <c r="S59" s="15">
        <f t="shared" si="34"/>
        <v>0</v>
      </c>
      <c r="T59" s="331">
        <v>1</v>
      </c>
      <c r="U59" s="331">
        <v>7000</v>
      </c>
      <c r="V59" s="34">
        <f t="shared" si="46"/>
        <v>0</v>
      </c>
      <c r="W59" s="486"/>
      <c r="X59" s="27">
        <v>12</v>
      </c>
      <c r="Y59" s="15" t="s">
        <v>23</v>
      </c>
      <c r="Z59" s="75"/>
      <c r="AA59" s="309"/>
      <c r="AB59" s="1">
        <v>0</v>
      </c>
      <c r="AC59" s="8">
        <f t="shared" si="51"/>
        <v>14</v>
      </c>
      <c r="AD59" s="15">
        <f t="shared" si="38"/>
        <v>0</v>
      </c>
      <c r="AE59" s="331">
        <v>1</v>
      </c>
      <c r="AF59" s="331">
        <v>7000</v>
      </c>
      <c r="AG59" s="34">
        <f t="shared" si="47"/>
        <v>0</v>
      </c>
      <c r="AH59" s="486"/>
      <c r="AI59" s="282"/>
      <c r="AJ59" s="126"/>
      <c r="AK59" s="321"/>
      <c r="AL59" s="150"/>
    </row>
    <row r="60" spans="1:39" ht="15" hidden="1" customHeight="1" outlineLevel="2">
      <c r="A60" s="196">
        <v>13</v>
      </c>
      <c r="B60" s="200" t="s">
        <v>23</v>
      </c>
      <c r="C60" s="200"/>
      <c r="D60" s="200"/>
      <c r="E60" s="201"/>
      <c r="F60" s="202">
        <f t="shared" si="48"/>
        <v>0</v>
      </c>
      <c r="G60" s="200" t="e">
        <f t="shared" si="53"/>
        <v>#DIV/0!</v>
      </c>
      <c r="H60" s="324">
        <v>1</v>
      </c>
      <c r="I60" s="324">
        <f t="shared" si="44"/>
        <v>7000</v>
      </c>
      <c r="J60" s="208">
        <f t="shared" si="45"/>
        <v>0</v>
      </c>
      <c r="K60" s="172"/>
      <c r="L60" s="486"/>
      <c r="M60" s="27">
        <v>13</v>
      </c>
      <c r="N60" s="15" t="s">
        <v>23</v>
      </c>
      <c r="O60" s="75"/>
      <c r="P60" s="15"/>
      <c r="Q60" s="1"/>
      <c r="R60" s="8">
        <f t="shared" si="50"/>
        <v>0</v>
      </c>
      <c r="S60" s="15" t="e">
        <f t="shared" si="34"/>
        <v>#DIV/0!</v>
      </c>
      <c r="T60" s="331">
        <v>1</v>
      </c>
      <c r="U60" s="331">
        <v>7000</v>
      </c>
      <c r="V60" s="34">
        <f t="shared" si="46"/>
        <v>0</v>
      </c>
      <c r="W60" s="486"/>
      <c r="X60" s="27">
        <v>13</v>
      </c>
      <c r="Y60" s="15" t="s">
        <v>23</v>
      </c>
      <c r="Z60" s="75"/>
      <c r="AA60" s="309"/>
      <c r="AB60" s="1">
        <v>0</v>
      </c>
      <c r="AC60" s="8">
        <f t="shared" si="51"/>
        <v>0</v>
      </c>
      <c r="AD60" s="15" t="e">
        <f t="shared" si="38"/>
        <v>#DIV/0!</v>
      </c>
      <c r="AE60" s="331">
        <v>1</v>
      </c>
      <c r="AF60" s="331">
        <v>7000</v>
      </c>
      <c r="AG60" s="34">
        <f t="shared" si="47"/>
        <v>0</v>
      </c>
      <c r="AH60" s="486"/>
      <c r="AI60" s="282"/>
      <c r="AJ60" s="126"/>
      <c r="AK60" s="321"/>
      <c r="AL60" s="150"/>
    </row>
    <row r="61" spans="1:39" ht="15" hidden="1" customHeight="1" outlineLevel="2">
      <c r="A61" s="196">
        <v>1</v>
      </c>
      <c r="B61" s="200" t="s">
        <v>23</v>
      </c>
      <c r="C61" s="200"/>
      <c r="D61" s="200"/>
      <c r="E61" s="201"/>
      <c r="F61" s="202">
        <f t="shared" si="48"/>
        <v>0</v>
      </c>
      <c r="G61" s="200" t="e">
        <f t="shared" si="53"/>
        <v>#DIV/0!</v>
      </c>
      <c r="H61" s="324">
        <v>1</v>
      </c>
      <c r="I61" s="324">
        <f t="shared" si="44"/>
        <v>7000</v>
      </c>
      <c r="J61" s="208">
        <f t="shared" si="45"/>
        <v>0</v>
      </c>
      <c r="K61" s="172"/>
      <c r="L61" s="486"/>
      <c r="M61" s="27">
        <v>1</v>
      </c>
      <c r="N61" s="15" t="s">
        <v>23</v>
      </c>
      <c r="O61" s="75"/>
      <c r="P61" s="15"/>
      <c r="Q61" s="1"/>
      <c r="R61" s="8">
        <f t="shared" si="50"/>
        <v>0</v>
      </c>
      <c r="S61" s="15" t="e">
        <f t="shared" si="34"/>
        <v>#DIV/0!</v>
      </c>
      <c r="T61" s="331">
        <v>1</v>
      </c>
      <c r="U61" s="331">
        <v>7000</v>
      </c>
      <c r="V61" s="34">
        <f t="shared" si="46"/>
        <v>0</v>
      </c>
      <c r="W61" s="486"/>
      <c r="X61" s="27">
        <v>1</v>
      </c>
      <c r="Y61" s="15" t="s">
        <v>23</v>
      </c>
      <c r="Z61" s="75"/>
      <c r="AA61" s="309"/>
      <c r="AB61" s="1">
        <v>0</v>
      </c>
      <c r="AC61" s="8">
        <f t="shared" si="51"/>
        <v>0</v>
      </c>
      <c r="AD61" s="15" t="e">
        <f t="shared" si="38"/>
        <v>#DIV/0!</v>
      </c>
      <c r="AE61" s="331">
        <v>1</v>
      </c>
      <c r="AF61" s="331">
        <v>7000</v>
      </c>
      <c r="AG61" s="34">
        <f t="shared" si="47"/>
        <v>0</v>
      </c>
      <c r="AH61" s="486"/>
      <c r="AI61" s="282"/>
      <c r="AJ61" s="126"/>
      <c r="AK61" s="321"/>
      <c r="AL61" s="150"/>
    </row>
    <row r="62" spans="1:39" ht="15" hidden="1" customHeight="1" outlineLevel="2">
      <c r="A62" s="196">
        <v>1</v>
      </c>
      <c r="B62" s="200" t="s">
        <v>23</v>
      </c>
      <c r="C62" s="200"/>
      <c r="D62" s="200"/>
      <c r="E62" s="201"/>
      <c r="F62" s="202">
        <f t="shared" si="48"/>
        <v>0</v>
      </c>
      <c r="G62" s="200" t="e">
        <f t="shared" ref="G62" si="54">E62/F62</f>
        <v>#DIV/0!</v>
      </c>
      <c r="H62" s="324">
        <v>1</v>
      </c>
      <c r="I62" s="324">
        <f t="shared" si="44"/>
        <v>7000</v>
      </c>
      <c r="J62" s="208">
        <f t="shared" si="45"/>
        <v>0</v>
      </c>
      <c r="K62" s="172"/>
      <c r="L62" s="486"/>
      <c r="M62" s="27">
        <v>1</v>
      </c>
      <c r="N62" s="15" t="s">
        <v>23</v>
      </c>
      <c r="O62" s="75"/>
      <c r="P62" s="15"/>
      <c r="Q62" s="1"/>
      <c r="R62" s="8">
        <f t="shared" si="50"/>
        <v>0</v>
      </c>
      <c r="S62" s="15" t="e">
        <f t="shared" si="34"/>
        <v>#DIV/0!</v>
      </c>
      <c r="T62" s="331">
        <v>1</v>
      </c>
      <c r="U62" s="331">
        <v>7000</v>
      </c>
      <c r="V62" s="34">
        <f t="shared" si="46"/>
        <v>0</v>
      </c>
      <c r="W62" s="486"/>
      <c r="X62" s="27">
        <v>1</v>
      </c>
      <c r="Y62" s="15" t="s">
        <v>23</v>
      </c>
      <c r="Z62" s="75"/>
      <c r="AA62" s="309"/>
      <c r="AB62" s="1">
        <v>0</v>
      </c>
      <c r="AC62" s="8">
        <f t="shared" si="51"/>
        <v>0</v>
      </c>
      <c r="AD62" s="15" t="e">
        <f t="shared" si="38"/>
        <v>#DIV/0!</v>
      </c>
      <c r="AE62" s="331">
        <v>1</v>
      </c>
      <c r="AF62" s="331">
        <v>7000</v>
      </c>
      <c r="AG62" s="34">
        <f t="shared" si="47"/>
        <v>0</v>
      </c>
      <c r="AH62" s="486"/>
      <c r="AI62" s="282"/>
      <c r="AJ62" s="126"/>
      <c r="AK62" s="321"/>
      <c r="AL62" s="150"/>
    </row>
    <row r="63" spans="1:39" ht="15" hidden="1" customHeight="1" outlineLevel="2">
      <c r="A63" s="196"/>
      <c r="B63" s="200"/>
      <c r="C63" s="200"/>
      <c r="D63" s="200"/>
      <c r="E63" s="201"/>
      <c r="F63" s="149"/>
      <c r="G63" s="200" t="e">
        <f t="shared" si="49"/>
        <v>#DIV/0!</v>
      </c>
      <c r="H63" s="324"/>
      <c r="I63" s="324">
        <f t="shared" si="44"/>
        <v>0</v>
      </c>
      <c r="J63" s="208">
        <f t="shared" si="45"/>
        <v>0</v>
      </c>
      <c r="K63" s="172"/>
      <c r="L63" s="486"/>
      <c r="M63" s="27"/>
      <c r="N63" s="15"/>
      <c r="O63" s="75"/>
      <c r="P63" s="15"/>
      <c r="Q63" s="1"/>
      <c r="R63" s="51"/>
      <c r="S63" s="15" t="e">
        <f t="shared" si="34"/>
        <v>#DIV/0!</v>
      </c>
      <c r="T63" s="331"/>
      <c r="U63" s="331"/>
      <c r="V63" s="34">
        <f t="shared" si="46"/>
        <v>0</v>
      </c>
      <c r="W63" s="486"/>
      <c r="X63" s="27"/>
      <c r="Y63" s="15"/>
      <c r="Z63" s="75"/>
      <c r="AA63" s="309"/>
      <c r="AB63" s="1">
        <v>0</v>
      </c>
      <c r="AC63" s="51"/>
      <c r="AD63" s="15" t="e">
        <f t="shared" si="38"/>
        <v>#DIV/0!</v>
      </c>
      <c r="AE63" s="331"/>
      <c r="AF63" s="331"/>
      <c r="AG63" s="34">
        <f t="shared" si="47"/>
        <v>0</v>
      </c>
      <c r="AH63" s="486"/>
      <c r="AI63" s="282"/>
      <c r="AJ63" s="126"/>
      <c r="AK63" s="321"/>
      <c r="AL63" s="150"/>
    </row>
    <row r="64" spans="1:39" ht="15" customHeight="1" outlineLevel="2">
      <c r="A64" s="491" t="s">
        <v>42</v>
      </c>
      <c r="B64" s="492"/>
      <c r="C64" s="492"/>
      <c r="D64" s="492"/>
      <c r="E64" s="492"/>
      <c r="F64" s="492"/>
      <c r="G64" s="492"/>
      <c r="H64" s="492"/>
      <c r="I64" s="493"/>
      <c r="J64" s="209">
        <f>SUM(J49:J53)</f>
        <v>7.8745998548862151</v>
      </c>
      <c r="K64" s="157"/>
      <c r="L64" s="486"/>
      <c r="M64" s="482" t="s">
        <v>42</v>
      </c>
      <c r="N64" s="483"/>
      <c r="O64" s="483"/>
      <c r="P64" s="483"/>
      <c r="Q64" s="483"/>
      <c r="R64" s="483"/>
      <c r="S64" s="483"/>
      <c r="T64" s="483"/>
      <c r="U64" s="484"/>
      <c r="V64" s="35">
        <f>SUM(V49:V53)</f>
        <v>7.8745867332764501</v>
      </c>
      <c r="W64" s="486"/>
      <c r="X64" s="482" t="s">
        <v>42</v>
      </c>
      <c r="Y64" s="483"/>
      <c r="Z64" s="483"/>
      <c r="AA64" s="483"/>
      <c r="AB64" s="483"/>
      <c r="AC64" s="483"/>
      <c r="AD64" s="483"/>
      <c r="AE64" s="483"/>
      <c r="AF64" s="484"/>
      <c r="AG64" s="35">
        <f>SUM(AG49:AG53)</f>
        <v>7.8977378571428565</v>
      </c>
      <c r="AH64" s="486"/>
      <c r="AI64" s="282"/>
      <c r="AJ64" s="259">
        <f>V64*R53+J64*F53+AG64*AC53</f>
        <v>1842805.4999999998</v>
      </c>
      <c r="AK64" s="321">
        <f>SUM(AK49:AK53)</f>
        <v>1842805.5</v>
      </c>
      <c r="AL64" s="386">
        <f>AK49+AK51+AK52</f>
        <v>1745605.5</v>
      </c>
    </row>
    <row r="65" spans="1:40" ht="15.75" customHeight="1">
      <c r="A65" s="474" t="s">
        <v>102</v>
      </c>
      <c r="B65" s="474"/>
      <c r="C65" s="474"/>
      <c r="D65" s="474"/>
      <c r="E65" s="474"/>
      <c r="F65" s="474"/>
      <c r="G65" s="474"/>
      <c r="H65" s="474"/>
      <c r="I65" s="474"/>
      <c r="J65" s="212">
        <f>J64+J44+J16</f>
        <v>95.076504285699215</v>
      </c>
      <c r="K65" s="173"/>
      <c r="L65" s="487"/>
      <c r="M65" s="474" t="s">
        <v>102</v>
      </c>
      <c r="N65" s="474"/>
      <c r="O65" s="474"/>
      <c r="P65" s="474"/>
      <c r="Q65" s="474"/>
      <c r="R65" s="474"/>
      <c r="S65" s="474"/>
      <c r="T65" s="474"/>
      <c r="U65" s="474"/>
      <c r="V65" s="168">
        <f>V64+V44+V16</f>
        <v>95.281575723413496</v>
      </c>
      <c r="W65" s="487"/>
      <c r="X65" s="474" t="s">
        <v>102</v>
      </c>
      <c r="Y65" s="474"/>
      <c r="Z65" s="474"/>
      <c r="AA65" s="474"/>
      <c r="AB65" s="474"/>
      <c r="AC65" s="474"/>
      <c r="AD65" s="474"/>
      <c r="AE65" s="474"/>
      <c r="AF65" s="474"/>
      <c r="AG65" s="168">
        <f>AG64+AG44+AG16</f>
        <v>17524.349847313886</v>
      </c>
      <c r="AH65" s="487"/>
      <c r="AI65" s="293">
        <f>AJ64-AK64</f>
        <v>0</v>
      </c>
      <c r="AJ65" s="134"/>
      <c r="AK65" s="322"/>
    </row>
    <row r="66" spans="1:40" ht="92.25" customHeight="1">
      <c r="A66" s="170" t="s">
        <v>9</v>
      </c>
      <c r="B66" s="170" t="s">
        <v>10</v>
      </c>
      <c r="C66" s="170" t="s">
        <v>27</v>
      </c>
      <c r="D66" s="170" t="s">
        <v>19</v>
      </c>
      <c r="E66" s="169" t="s">
        <v>2</v>
      </c>
      <c r="F66" s="170" t="s">
        <v>88</v>
      </c>
      <c r="G66" s="170" t="s">
        <v>50</v>
      </c>
      <c r="H66" s="298" t="s">
        <v>69</v>
      </c>
      <c r="I66" s="298" t="s">
        <v>22</v>
      </c>
      <c r="J66" s="13" t="s">
        <v>11</v>
      </c>
      <c r="K66" s="232"/>
      <c r="L66" s="13" t="s">
        <v>43</v>
      </c>
      <c r="M66" s="170" t="s">
        <v>9</v>
      </c>
      <c r="N66" s="170" t="s">
        <v>10</v>
      </c>
      <c r="O66" s="170" t="s">
        <v>27</v>
      </c>
      <c r="P66" s="170" t="s">
        <v>19</v>
      </c>
      <c r="Q66" s="169" t="s">
        <v>2</v>
      </c>
      <c r="R66" s="170" t="s">
        <v>88</v>
      </c>
      <c r="S66" s="170" t="s">
        <v>50</v>
      </c>
      <c r="T66" s="298" t="s">
        <v>69</v>
      </c>
      <c r="U66" s="298" t="s">
        <v>22</v>
      </c>
      <c r="V66" s="13" t="s">
        <v>11</v>
      </c>
      <c r="W66" s="13" t="s">
        <v>43</v>
      </c>
      <c r="X66" s="170" t="s">
        <v>9</v>
      </c>
      <c r="Y66" s="170" t="s">
        <v>10</v>
      </c>
      <c r="Z66" s="170" t="s">
        <v>27</v>
      </c>
      <c r="AA66" s="310" t="s">
        <v>19</v>
      </c>
      <c r="AB66" s="169" t="s">
        <v>2</v>
      </c>
      <c r="AC66" s="170" t="s">
        <v>88</v>
      </c>
      <c r="AD66" s="170" t="s">
        <v>50</v>
      </c>
      <c r="AE66" s="298" t="s">
        <v>69</v>
      </c>
      <c r="AF66" s="298" t="s">
        <v>22</v>
      </c>
      <c r="AG66" s="13" t="s">
        <v>11</v>
      </c>
      <c r="AH66" s="13" t="s">
        <v>43</v>
      </c>
      <c r="AI66" s="283"/>
    </row>
    <row r="67" spans="1:40">
      <c r="A67" s="147">
        <v>1</v>
      </c>
      <c r="B67" s="147">
        <v>1</v>
      </c>
      <c r="C67" s="147">
        <v>2</v>
      </c>
      <c r="D67" s="147">
        <v>3</v>
      </c>
      <c r="E67" s="147">
        <v>4</v>
      </c>
      <c r="F67" s="147">
        <v>5</v>
      </c>
      <c r="G67" s="147" t="s">
        <v>57</v>
      </c>
      <c r="H67" s="299">
        <v>7</v>
      </c>
      <c r="I67" s="299">
        <v>8</v>
      </c>
      <c r="J67" s="147" t="s">
        <v>105</v>
      </c>
      <c r="K67" s="233"/>
      <c r="L67" s="147">
        <v>10</v>
      </c>
      <c r="M67" s="147">
        <v>1</v>
      </c>
      <c r="N67" s="147">
        <v>1</v>
      </c>
      <c r="O67" s="147">
        <v>2</v>
      </c>
      <c r="P67" s="147">
        <v>3</v>
      </c>
      <c r="Q67" s="147">
        <v>4</v>
      </c>
      <c r="R67" s="147">
        <v>5</v>
      </c>
      <c r="S67" s="147" t="s">
        <v>57</v>
      </c>
      <c r="T67" s="299">
        <v>7</v>
      </c>
      <c r="U67" s="299">
        <v>8</v>
      </c>
      <c r="V67" s="147" t="s">
        <v>105</v>
      </c>
      <c r="W67" s="147">
        <v>10</v>
      </c>
      <c r="X67" s="269">
        <v>1</v>
      </c>
      <c r="Y67" s="269">
        <v>1</v>
      </c>
      <c r="Z67" s="269">
        <v>2</v>
      </c>
      <c r="AA67" s="311">
        <v>3</v>
      </c>
      <c r="AB67" s="269">
        <v>4</v>
      </c>
      <c r="AC67" s="269">
        <v>5</v>
      </c>
      <c r="AD67" s="269" t="s">
        <v>57</v>
      </c>
      <c r="AE67" s="299">
        <v>7</v>
      </c>
      <c r="AF67" s="299">
        <v>8</v>
      </c>
      <c r="AG67" s="269" t="s">
        <v>105</v>
      </c>
      <c r="AH67" s="269">
        <v>10</v>
      </c>
      <c r="AI67" s="284"/>
    </row>
    <row r="68" spans="1:40" ht="15" customHeight="1">
      <c r="A68" s="433" t="s">
        <v>12</v>
      </c>
      <c r="B68" s="434"/>
      <c r="C68" s="434"/>
      <c r="D68" s="434"/>
      <c r="E68" s="434"/>
      <c r="F68" s="434"/>
      <c r="G68" s="434"/>
      <c r="H68" s="434"/>
      <c r="I68" s="434"/>
      <c r="J68" s="434"/>
      <c r="K68" s="434"/>
      <c r="L68" s="435"/>
      <c r="M68" s="433" t="s">
        <v>12</v>
      </c>
      <c r="N68" s="434"/>
      <c r="O68" s="434"/>
      <c r="P68" s="434"/>
      <c r="Q68" s="434"/>
      <c r="R68" s="434"/>
      <c r="S68" s="434"/>
      <c r="T68" s="434"/>
      <c r="U68" s="434"/>
      <c r="V68" s="434"/>
      <c r="W68" s="435"/>
      <c r="X68" s="433" t="s">
        <v>12</v>
      </c>
      <c r="Y68" s="434"/>
      <c r="Z68" s="434"/>
      <c r="AA68" s="434"/>
      <c r="AB68" s="434"/>
      <c r="AC68" s="434"/>
      <c r="AD68" s="434"/>
      <c r="AE68" s="434"/>
      <c r="AF68" s="434"/>
      <c r="AG68" s="434"/>
      <c r="AH68" s="435"/>
      <c r="AI68" s="285" t="s">
        <v>239</v>
      </c>
      <c r="AM68" s="69"/>
      <c r="AN68" s="260" t="s">
        <v>240</v>
      </c>
    </row>
    <row r="69" spans="1:40" ht="15" customHeight="1">
      <c r="A69" s="192">
        <v>1</v>
      </c>
      <c r="B69" s="213" t="s">
        <v>16</v>
      </c>
      <c r="C69" s="4" t="s">
        <v>45</v>
      </c>
      <c r="D69" s="312">
        <f>AN69/234019*E69</f>
        <v>111030.97932219178</v>
      </c>
      <c r="E69" s="216">
        <f>F53</f>
        <v>172475</v>
      </c>
      <c r="F69" s="217">
        <v>1</v>
      </c>
      <c r="G69" s="218">
        <f>D69*F69/E69</f>
        <v>0.64375114841102643</v>
      </c>
      <c r="H69" s="332">
        <f>T69</f>
        <v>8.0533999999999999</v>
      </c>
      <c r="I69" s="338"/>
      <c r="J69" s="214">
        <f>H69*G69</f>
        <v>5.1843854986133602</v>
      </c>
      <c r="K69" s="176"/>
      <c r="L69" s="467" t="s">
        <v>161</v>
      </c>
      <c r="M69" s="192">
        <v>1</v>
      </c>
      <c r="N69" s="237" t="s">
        <v>16</v>
      </c>
      <c r="O69" s="181" t="s">
        <v>45</v>
      </c>
      <c r="P69" s="312">
        <f>AN69/234019*Q69</f>
        <v>39610.008161730453</v>
      </c>
      <c r="Q69" s="216">
        <f>R53</f>
        <v>61530</v>
      </c>
      <c r="R69" s="217">
        <v>1</v>
      </c>
      <c r="S69" s="390">
        <f>P69*R69/Q69</f>
        <v>0.64375114841102643</v>
      </c>
      <c r="T69" s="332">
        <f>AE69</f>
        <v>8.0533999999999999</v>
      </c>
      <c r="U69" s="338"/>
      <c r="V69" s="28">
        <f>T69*S69</f>
        <v>5.1843854986133602</v>
      </c>
      <c r="W69" s="467" t="s">
        <v>161</v>
      </c>
      <c r="X69" s="192">
        <v>1</v>
      </c>
      <c r="Y69" s="237" t="s">
        <v>16</v>
      </c>
      <c r="Z69" s="181" t="s">
        <v>45</v>
      </c>
      <c r="AA69" s="312">
        <f>AN69/234019*AB69</f>
        <v>9.0125160777543698</v>
      </c>
      <c r="AB69" s="216">
        <f>AC53</f>
        <v>14</v>
      </c>
      <c r="AC69" s="217">
        <v>1</v>
      </c>
      <c r="AD69" s="218">
        <f>AA69*AC69/AB69</f>
        <v>0.64375114841102643</v>
      </c>
      <c r="AE69" s="332">
        <v>8.0533999999999999</v>
      </c>
      <c r="AF69" s="338"/>
      <c r="AG69" s="28">
        <f>AE69*AD69</f>
        <v>5.1843854986133602</v>
      </c>
      <c r="AH69" s="467" t="s">
        <v>161</v>
      </c>
      <c r="AI69" s="374">
        <f>AA69+P69+D69</f>
        <v>150650</v>
      </c>
      <c r="AJ69" s="131">
        <v>223</v>
      </c>
      <c r="AK69" s="369">
        <f>V69*Q69+J69*E69+AG69*AB69</f>
        <v>1213244.71</v>
      </c>
      <c r="AL69" s="346">
        <v>1213244.71</v>
      </c>
      <c r="AM69" s="388">
        <f>AL69-AK69</f>
        <v>0</v>
      </c>
      <c r="AN69" s="14">
        <v>150650</v>
      </c>
    </row>
    <row r="70" spans="1:40">
      <c r="A70" s="192">
        <v>2</v>
      </c>
      <c r="B70" s="213" t="s">
        <v>13</v>
      </c>
      <c r="C70" s="4" t="s">
        <v>167</v>
      </c>
      <c r="D70" s="312">
        <f>AN70/234019*E70</f>
        <v>517.59672485520605</v>
      </c>
      <c r="E70" s="216">
        <f>E69</f>
        <v>172475</v>
      </c>
      <c r="F70" s="217">
        <v>1</v>
      </c>
      <c r="G70" s="218">
        <f>D70*F70/E70</f>
        <v>3.0009956507041952E-3</v>
      </c>
      <c r="H70" s="332">
        <f t="shared" ref="H70:H72" si="55">T70</f>
        <v>3299.09</v>
      </c>
      <c r="I70" s="338"/>
      <c r="J70" s="214">
        <f>H70*G70</f>
        <v>9.9005547412817041</v>
      </c>
      <c r="K70" s="177"/>
      <c r="L70" s="450"/>
      <c r="M70" s="192">
        <v>2</v>
      </c>
      <c r="N70" s="237" t="s">
        <v>13</v>
      </c>
      <c r="O70" s="181" t="s">
        <v>167</v>
      </c>
      <c r="P70" s="312">
        <f>AN70/234019*Q70</f>
        <v>184.65126238782912</v>
      </c>
      <c r="Q70" s="216">
        <f>Q69</f>
        <v>61530</v>
      </c>
      <c r="R70" s="217">
        <v>1</v>
      </c>
      <c r="S70" s="390">
        <f>P70*R70/Q70</f>
        <v>3.0009956507041952E-3</v>
      </c>
      <c r="T70" s="332">
        <f t="shared" ref="T70:T73" si="56">AE70</f>
        <v>3299.09</v>
      </c>
      <c r="U70" s="338"/>
      <c r="V70" s="28">
        <f>T70*S70</f>
        <v>9.9005547412817041</v>
      </c>
      <c r="W70" s="450"/>
      <c r="X70" s="192">
        <v>2</v>
      </c>
      <c r="Y70" s="237" t="s">
        <v>13</v>
      </c>
      <c r="Z70" s="181" t="s">
        <v>167</v>
      </c>
      <c r="AA70" s="312">
        <f>AN70/234019*AB70</f>
        <v>4.2013939109858733E-2</v>
      </c>
      <c r="AB70" s="216">
        <f>AB69</f>
        <v>14</v>
      </c>
      <c r="AC70" s="217">
        <v>1</v>
      </c>
      <c r="AD70" s="218">
        <f>AA70*AC70/AB70</f>
        <v>3.0009956507041952E-3</v>
      </c>
      <c r="AE70" s="332">
        <v>3299.09</v>
      </c>
      <c r="AF70" s="338"/>
      <c r="AG70" s="28">
        <f>AE70*AD70</f>
        <v>9.9005547412817041</v>
      </c>
      <c r="AH70" s="450"/>
      <c r="AI70" s="374">
        <f t="shared" ref="AI70:AI73" si="57">AA70+P70+D70</f>
        <v>702.29000118214503</v>
      </c>
      <c r="AJ70" s="131">
        <v>223</v>
      </c>
      <c r="AK70" s="369">
        <f t="shared" ref="AK70:AK73" si="58">V70*Q70+J70*E70+AG70*AB70</f>
        <v>2316917.9200000027</v>
      </c>
      <c r="AL70" s="346">
        <v>2316917.92</v>
      </c>
      <c r="AM70" s="388">
        <f t="shared" ref="AM70:AM73" si="59">AL70-AK70</f>
        <v>0</v>
      </c>
      <c r="AN70" s="14">
        <v>702.29000118214503</v>
      </c>
    </row>
    <row r="71" spans="1:40" ht="15.75">
      <c r="A71" s="192">
        <v>3</v>
      </c>
      <c r="B71" s="213" t="s">
        <v>14</v>
      </c>
      <c r="C71" s="4" t="s">
        <v>44</v>
      </c>
      <c r="D71" s="312">
        <f>AN71/234019*E71</f>
        <v>2800.0295612061163</v>
      </c>
      <c r="E71" s="216">
        <f>E70</f>
        <v>172475</v>
      </c>
      <c r="F71" s="217">
        <v>1</v>
      </c>
      <c r="G71" s="218">
        <f>D71*F71/E71</f>
        <v>1.6234408240070251E-2</v>
      </c>
      <c r="H71" s="332">
        <f t="shared" si="55"/>
        <v>110.7</v>
      </c>
      <c r="I71" s="338"/>
      <c r="J71" s="214">
        <f>H71*G71</f>
        <v>1.7971489921757768</v>
      </c>
      <c r="K71" s="177"/>
      <c r="L71" s="450"/>
      <c r="M71" s="192">
        <v>3</v>
      </c>
      <c r="N71" s="237" t="s">
        <v>14</v>
      </c>
      <c r="O71" s="181" t="s">
        <v>44</v>
      </c>
      <c r="P71" s="312">
        <f>AN71/234019*Q71</f>
        <v>998.90313901152251</v>
      </c>
      <c r="Q71" s="216">
        <f t="shared" ref="Q71:Q73" si="60">Q70</f>
        <v>61530</v>
      </c>
      <c r="R71" s="217">
        <v>1</v>
      </c>
      <c r="S71" s="390">
        <f>P71*R71/Q71</f>
        <v>1.6234408240070251E-2</v>
      </c>
      <c r="T71" s="332">
        <f t="shared" si="56"/>
        <v>110.7</v>
      </c>
      <c r="U71" s="338"/>
      <c r="V71" s="28">
        <f>T71*S71</f>
        <v>1.7971489921757768</v>
      </c>
      <c r="W71" s="450"/>
      <c r="X71" s="192">
        <v>3</v>
      </c>
      <c r="Y71" s="237" t="s">
        <v>14</v>
      </c>
      <c r="Z71" s="181" t="s">
        <v>44</v>
      </c>
      <c r="AA71" s="312">
        <f>AN71/234019*AB71</f>
        <v>0.22728171536098352</v>
      </c>
      <c r="AB71" s="216">
        <f t="shared" ref="AB71:AB73" si="61">AB70</f>
        <v>14</v>
      </c>
      <c r="AC71" s="217">
        <v>1</v>
      </c>
      <c r="AD71" s="218">
        <f>AA71*AC71/AB71</f>
        <v>1.6234408240070251E-2</v>
      </c>
      <c r="AE71" s="332">
        <v>110.7</v>
      </c>
      <c r="AF71" s="338"/>
      <c r="AG71" s="28">
        <f>AE71*AD71</f>
        <v>1.7971489921757768</v>
      </c>
      <c r="AH71" s="450"/>
      <c r="AI71" s="374">
        <f t="shared" si="57"/>
        <v>3799.1599819329999</v>
      </c>
      <c r="AJ71" s="131">
        <v>223</v>
      </c>
      <c r="AK71" s="369">
        <f t="shared" si="58"/>
        <v>420567.00999998307</v>
      </c>
      <c r="AL71" s="346">
        <v>420567.01</v>
      </c>
      <c r="AM71" s="388">
        <f t="shared" si="59"/>
        <v>1.6938429325819016E-8</v>
      </c>
      <c r="AN71" s="14">
        <v>3799.1599819329999</v>
      </c>
    </row>
    <row r="72" spans="1:40" ht="15.75">
      <c r="A72" s="192">
        <v>4</v>
      </c>
      <c r="B72" s="213" t="str">
        <f>N72</f>
        <v>Вывоз бытовых стоков</v>
      </c>
      <c r="C72" s="4" t="s">
        <v>44</v>
      </c>
      <c r="D72" s="312">
        <f>AN72/234019*E72</f>
        <v>25.795448232835799</v>
      </c>
      <c r="E72" s="216">
        <f>E71</f>
        <v>172475</v>
      </c>
      <c r="F72" s="217">
        <v>1</v>
      </c>
      <c r="G72" s="218">
        <f>D72*F72/E72</f>
        <v>1.4956050577089896E-4</v>
      </c>
      <c r="H72" s="332">
        <f t="shared" si="55"/>
        <v>2626.23</v>
      </c>
      <c r="I72" s="338"/>
      <c r="J72" s="214">
        <f>H72*G72</f>
        <v>0.39278028707070795</v>
      </c>
      <c r="K72" s="177"/>
      <c r="L72" s="450"/>
      <c r="M72" s="192">
        <v>4</v>
      </c>
      <c r="N72" s="237" t="str">
        <f>Y72</f>
        <v>Вывоз бытовых стоков</v>
      </c>
      <c r="O72" s="4" t="s">
        <v>44</v>
      </c>
      <c r="P72" s="312">
        <f>AN72/234019*Q72</f>
        <v>9.2024579200834129</v>
      </c>
      <c r="Q72" s="216">
        <f t="shared" si="60"/>
        <v>61530</v>
      </c>
      <c r="R72" s="217">
        <v>1</v>
      </c>
      <c r="S72" s="391">
        <f>P72*R72/Q72</f>
        <v>1.4956050577089896E-4</v>
      </c>
      <c r="T72" s="332">
        <f t="shared" si="56"/>
        <v>2626.23</v>
      </c>
      <c r="U72" s="338"/>
      <c r="V72" s="28">
        <f>T72*S72</f>
        <v>0.39278028707070795</v>
      </c>
      <c r="W72" s="450"/>
      <c r="X72" s="192">
        <v>4</v>
      </c>
      <c r="Y72" s="237" t="s">
        <v>234</v>
      </c>
      <c r="Z72" s="4" t="s">
        <v>44</v>
      </c>
      <c r="AA72" s="312">
        <f>AN72/234019*AB72</f>
        <v>2.0938470807925855E-3</v>
      </c>
      <c r="AB72" s="216">
        <f t="shared" si="61"/>
        <v>14</v>
      </c>
      <c r="AC72" s="217">
        <v>1</v>
      </c>
      <c r="AD72" s="238">
        <f>AA72*AC72/AB72</f>
        <v>1.4956050577089896E-4</v>
      </c>
      <c r="AE72" s="332">
        <v>2626.23</v>
      </c>
      <c r="AF72" s="338"/>
      <c r="AG72" s="28">
        <f>AE72*AD72</f>
        <v>0.39278028707070795</v>
      </c>
      <c r="AH72" s="450"/>
      <c r="AI72" s="374">
        <f t="shared" si="57"/>
        <v>35.000000000000007</v>
      </c>
      <c r="AJ72" s="131">
        <v>223</v>
      </c>
      <c r="AK72" s="369">
        <f t="shared" si="58"/>
        <v>91918.05</v>
      </c>
      <c r="AL72" s="346">
        <v>91918.05</v>
      </c>
      <c r="AM72" s="388">
        <f t="shared" si="59"/>
        <v>0</v>
      </c>
      <c r="AN72" s="14">
        <v>35</v>
      </c>
    </row>
    <row r="73" spans="1:40" ht="15.75" thickBot="1">
      <c r="A73" s="315">
        <f>M73</f>
        <v>5</v>
      </c>
      <c r="B73" s="317" t="str">
        <f t="shared" ref="B73:C73" si="62">N73</f>
        <v>Вывоз ТКО</v>
      </c>
      <c r="C73" s="315" t="str">
        <f t="shared" si="62"/>
        <v>м3</v>
      </c>
      <c r="D73" s="312">
        <f>AN73/234019*E73</f>
        <v>24.056099315085852</v>
      </c>
      <c r="E73" s="216">
        <f>E72</f>
        <v>172475</v>
      </c>
      <c r="F73" s="217">
        <v>1</v>
      </c>
      <c r="G73" s="218">
        <f>D73*F73/E73</f>
        <v>1.394758620964537E-4</v>
      </c>
      <c r="H73" s="332">
        <f>T73</f>
        <v>2257.4</v>
      </c>
      <c r="I73" s="338"/>
      <c r="J73" s="214">
        <f>H73*G73</f>
        <v>0.31485281109653462</v>
      </c>
      <c r="K73" s="177"/>
      <c r="L73" s="450"/>
      <c r="M73" s="192">
        <v>5</v>
      </c>
      <c r="N73" s="237" t="str">
        <f>Y73</f>
        <v>Вывоз ТКО</v>
      </c>
      <c r="O73" s="315" t="str">
        <f>Z73</f>
        <v>м3</v>
      </c>
      <c r="P73" s="312">
        <f>AN73/234019*Q73</f>
        <v>8.5819497947947969</v>
      </c>
      <c r="Q73" s="216">
        <f t="shared" si="60"/>
        <v>61530</v>
      </c>
      <c r="R73" s="217">
        <v>1</v>
      </c>
      <c r="S73" s="391">
        <f>P73*R73/Q73</f>
        <v>1.394758620964537E-4</v>
      </c>
      <c r="T73" s="332">
        <f t="shared" si="56"/>
        <v>2257.4</v>
      </c>
      <c r="U73" s="338"/>
      <c r="V73" s="28">
        <f>T73*S73</f>
        <v>0.31485281109653462</v>
      </c>
      <c r="W73" s="450"/>
      <c r="X73" s="192">
        <v>5</v>
      </c>
      <c r="Y73" s="237" t="s">
        <v>231</v>
      </c>
      <c r="Z73" s="4" t="s">
        <v>230</v>
      </c>
      <c r="AA73" s="312">
        <f>AN73/234019*AB73</f>
        <v>1.9526620693503518E-3</v>
      </c>
      <c r="AB73" s="216">
        <f t="shared" si="61"/>
        <v>14</v>
      </c>
      <c r="AC73" s="217">
        <v>1</v>
      </c>
      <c r="AD73" s="238">
        <f>AA73*AC73/AB73</f>
        <v>1.394758620964537E-4</v>
      </c>
      <c r="AE73" s="332">
        <v>2257.4</v>
      </c>
      <c r="AF73" s="338"/>
      <c r="AG73" s="28">
        <f>AE73*AD73</f>
        <v>0.31485281109653462</v>
      </c>
      <c r="AH73" s="450"/>
      <c r="AI73" s="374">
        <f t="shared" si="57"/>
        <v>32.640001771949997</v>
      </c>
      <c r="AJ73" s="316">
        <v>223</v>
      </c>
      <c r="AK73" s="369">
        <f t="shared" si="58"/>
        <v>73681.53999999995</v>
      </c>
      <c r="AL73" s="346">
        <v>73681.539999999994</v>
      </c>
      <c r="AM73" s="388">
        <f t="shared" si="59"/>
        <v>0</v>
      </c>
      <c r="AN73" s="14">
        <v>32.640001771949997</v>
      </c>
    </row>
    <row r="74" spans="1:40" ht="15.75" thickBot="1">
      <c r="A74" s="488" t="s">
        <v>26</v>
      </c>
      <c r="B74" s="489"/>
      <c r="C74" s="489"/>
      <c r="D74" s="489"/>
      <c r="E74" s="489"/>
      <c r="F74" s="489"/>
      <c r="G74" s="489"/>
      <c r="H74" s="489"/>
      <c r="I74" s="490"/>
      <c r="J74" s="215">
        <f>SUM(J69:J73)</f>
        <v>17.589722330238086</v>
      </c>
      <c r="K74" s="178"/>
      <c r="L74" s="451"/>
      <c r="M74" s="430" t="s">
        <v>26</v>
      </c>
      <c r="N74" s="431"/>
      <c r="O74" s="431"/>
      <c r="P74" s="431"/>
      <c r="Q74" s="431"/>
      <c r="R74" s="431"/>
      <c r="S74" s="431"/>
      <c r="T74" s="431"/>
      <c r="U74" s="432"/>
      <c r="V74" s="29">
        <f>SUM(V69:V73)</f>
        <v>17.589722330238086</v>
      </c>
      <c r="W74" s="451"/>
      <c r="X74" s="430" t="s">
        <v>26</v>
      </c>
      <c r="Y74" s="431"/>
      <c r="Z74" s="431"/>
      <c r="AA74" s="431"/>
      <c r="AB74" s="431"/>
      <c r="AC74" s="431"/>
      <c r="AD74" s="431"/>
      <c r="AE74" s="431"/>
      <c r="AF74" s="432"/>
      <c r="AG74" s="29">
        <f>SUM(AG69:AG73)</f>
        <v>17.589722330238086</v>
      </c>
      <c r="AH74" s="451"/>
      <c r="AI74" s="267"/>
      <c r="AJ74" s="258">
        <f>V74*Q70+J74*E72+AG74*AB73</f>
        <v>4116329.2299999865</v>
      </c>
      <c r="AK74" s="323">
        <f>SUM(AK69:AK73)</f>
        <v>4116329.2299999855</v>
      </c>
      <c r="AL74" s="343" t="s">
        <v>182</v>
      </c>
      <c r="AM74" s="366">
        <f>AG163</f>
        <v>4116329.23</v>
      </c>
    </row>
    <row r="75" spans="1:40" ht="15" customHeight="1">
      <c r="A75" s="433" t="s">
        <v>61</v>
      </c>
      <c r="B75" s="434"/>
      <c r="C75" s="434"/>
      <c r="D75" s="434"/>
      <c r="E75" s="434"/>
      <c r="F75" s="434"/>
      <c r="G75" s="434"/>
      <c r="H75" s="434"/>
      <c r="I75" s="434"/>
      <c r="J75" s="434"/>
      <c r="K75" s="434"/>
      <c r="L75" s="435"/>
      <c r="M75" s="433" t="s">
        <v>61</v>
      </c>
      <c r="N75" s="434"/>
      <c r="O75" s="434"/>
      <c r="P75" s="434"/>
      <c r="Q75" s="434"/>
      <c r="R75" s="434"/>
      <c r="S75" s="434"/>
      <c r="T75" s="434"/>
      <c r="U75" s="434"/>
      <c r="V75" s="434"/>
      <c r="W75" s="435"/>
      <c r="X75" s="433" t="s">
        <v>61</v>
      </c>
      <c r="Y75" s="434"/>
      <c r="Z75" s="434"/>
      <c r="AA75" s="434"/>
      <c r="AB75" s="434"/>
      <c r="AC75" s="434"/>
      <c r="AD75" s="434"/>
      <c r="AE75" s="434"/>
      <c r="AF75" s="434"/>
      <c r="AG75" s="434"/>
      <c r="AH75" s="435"/>
      <c r="AI75" s="285"/>
      <c r="AL75" s="314">
        <f>AM74-AK74</f>
        <v>1.4435499906539917E-8</v>
      </c>
    </row>
    <row r="76" spans="1:40" ht="51.75">
      <c r="A76" s="192">
        <v>1</v>
      </c>
      <c r="B76" s="219" t="s">
        <v>17</v>
      </c>
      <c r="C76" s="179" t="s">
        <v>162</v>
      </c>
      <c r="D76" s="312">
        <f t="shared" ref="D76:D86" si="63">1/234019*E76</f>
        <v>0.73701280665245128</v>
      </c>
      <c r="E76" s="166">
        <f>E72</f>
        <v>172475</v>
      </c>
      <c r="F76" s="175">
        <v>1</v>
      </c>
      <c r="G76" s="180">
        <f>D76*F76/E76</f>
        <v>4.2731573077399699E-6</v>
      </c>
      <c r="H76" s="354">
        <f>T76</f>
        <v>87941.6</v>
      </c>
      <c r="I76" s="349"/>
      <c r="J76" s="214">
        <f>H76*G76</f>
        <v>0.37578829069434538</v>
      </c>
      <c r="K76" s="176"/>
      <c r="L76" s="467" t="s">
        <v>164</v>
      </c>
      <c r="M76" s="192">
        <v>1</v>
      </c>
      <c r="N76" s="239" t="s">
        <v>17</v>
      </c>
      <c r="O76" s="179" t="s">
        <v>162</v>
      </c>
      <c r="P76" s="312">
        <f t="shared" ref="P76:P86" si="64">1/234019*Q76</f>
        <v>0.26292736914524034</v>
      </c>
      <c r="Q76" s="216">
        <f>Q72</f>
        <v>61530</v>
      </c>
      <c r="R76" s="217">
        <v>1</v>
      </c>
      <c r="S76" s="223">
        <f>P76*R76/Q76</f>
        <v>4.2731573077399699E-6</v>
      </c>
      <c r="T76" s="300">
        <f>AE76</f>
        <v>87941.6</v>
      </c>
      <c r="U76" s="338"/>
      <c r="V76" s="28">
        <f t="shared" ref="V76:V86" si="65">T76*S76</f>
        <v>0.37578829069434538</v>
      </c>
      <c r="W76" s="467" t="s">
        <v>164</v>
      </c>
      <c r="X76" s="192">
        <v>1</v>
      </c>
      <c r="Y76" s="239" t="s">
        <v>17</v>
      </c>
      <c r="Z76" s="179" t="s">
        <v>162</v>
      </c>
      <c r="AA76" s="312">
        <f t="shared" ref="AA76:AA86" si="66">1/234019*AB76</f>
        <v>5.9824202308359581E-5</v>
      </c>
      <c r="AB76" s="216">
        <f>AB72</f>
        <v>14</v>
      </c>
      <c r="AC76" s="217">
        <v>1</v>
      </c>
      <c r="AD76" s="223">
        <f>AA76*AC76/AB76</f>
        <v>4.2731573077399699E-6</v>
      </c>
      <c r="AE76" s="300">
        <v>87941.6</v>
      </c>
      <c r="AF76" s="338"/>
      <c r="AG76" s="28">
        <f>AE76*AD76</f>
        <v>0.37578829069434538</v>
      </c>
      <c r="AH76" s="471" t="s">
        <v>164</v>
      </c>
      <c r="AI76" s="364">
        <f>AA76+P76+D76</f>
        <v>1</v>
      </c>
      <c r="AJ76" s="131">
        <v>225</v>
      </c>
      <c r="AK76" s="370">
        <f>V76*Q76+J76*E76+AG76*AB76</f>
        <v>87941.6</v>
      </c>
      <c r="AL76" s="346">
        <v>87941.6</v>
      </c>
      <c r="AM76" s="134">
        <f>AL76-AK76</f>
        <v>0</v>
      </c>
    </row>
    <row r="77" spans="1:40" ht="39">
      <c r="A77" s="192">
        <v>2</v>
      </c>
      <c r="B77" s="219" t="s">
        <v>18</v>
      </c>
      <c r="C77" s="179" t="s">
        <v>162</v>
      </c>
      <c r="D77" s="312">
        <f t="shared" si="63"/>
        <v>0.73701280665245128</v>
      </c>
      <c r="E77" s="166">
        <f>E76</f>
        <v>172475</v>
      </c>
      <c r="F77" s="175">
        <v>1</v>
      </c>
      <c r="G77" s="180">
        <f>D77*F77/E77</f>
        <v>4.2731573077399699E-6</v>
      </c>
      <c r="H77" s="354">
        <f t="shared" ref="H77:H86" si="67">T77</f>
        <v>177000</v>
      </c>
      <c r="I77" s="349"/>
      <c r="J77" s="214">
        <f t="shared" ref="J77:J80" si="68">H77*G77</f>
        <v>0.75634884346997466</v>
      </c>
      <c r="K77" s="177"/>
      <c r="L77" s="450"/>
      <c r="M77" s="192">
        <v>2</v>
      </c>
      <c r="N77" s="239" t="str">
        <f>Y77</f>
        <v>Проведение текущего ремонта (строительные материалы)</v>
      </c>
      <c r="O77" s="179" t="s">
        <v>162</v>
      </c>
      <c r="P77" s="312">
        <f t="shared" si="64"/>
        <v>0.26292736914524034</v>
      </c>
      <c r="Q77" s="216">
        <f>Q76</f>
        <v>61530</v>
      </c>
      <c r="R77" s="217">
        <v>1</v>
      </c>
      <c r="S77" s="223">
        <f t="shared" ref="S77:S84" si="69">P77*R77/Q77</f>
        <v>4.2731573077399699E-6</v>
      </c>
      <c r="T77" s="300">
        <f t="shared" ref="T77:T86" si="70">AE77</f>
        <v>177000</v>
      </c>
      <c r="U77" s="338"/>
      <c r="V77" s="28">
        <f t="shared" si="65"/>
        <v>0.75634884346997466</v>
      </c>
      <c r="W77" s="450"/>
      <c r="X77" s="192">
        <v>2</v>
      </c>
      <c r="Y77" s="239" t="s">
        <v>243</v>
      </c>
      <c r="Z77" s="179" t="s">
        <v>162</v>
      </c>
      <c r="AA77" s="312">
        <f t="shared" si="66"/>
        <v>5.9824202308359581E-5</v>
      </c>
      <c r="AB77" s="216">
        <f>AB76</f>
        <v>14</v>
      </c>
      <c r="AC77" s="217">
        <v>1</v>
      </c>
      <c r="AD77" s="223">
        <f t="shared" ref="AD77:AD84" si="71">AA77*AC77/AB77</f>
        <v>4.2731573077399699E-6</v>
      </c>
      <c r="AE77" s="300">
        <v>177000</v>
      </c>
      <c r="AF77" s="338"/>
      <c r="AG77" s="28">
        <f>AE77*AD77</f>
        <v>0.75634884346997466</v>
      </c>
      <c r="AH77" s="472"/>
      <c r="AI77" s="364">
        <f t="shared" ref="AI77:AI86" si="72">AA77+P77+D77</f>
        <v>1</v>
      </c>
      <c r="AJ77" s="130">
        <v>340</v>
      </c>
      <c r="AK77" s="370">
        <f>V77*Q77+J77*E77+AG77*AB77</f>
        <v>177000</v>
      </c>
      <c r="AL77" s="271">
        <v>177000</v>
      </c>
      <c r="AM77" s="134">
        <f t="shared" ref="AM77:AM86" si="73">AL77-AK77</f>
        <v>0</v>
      </c>
    </row>
    <row r="78" spans="1:40" ht="39">
      <c r="A78" s="192">
        <v>3</v>
      </c>
      <c r="B78" s="219" t="s">
        <v>113</v>
      </c>
      <c r="C78" s="179" t="s">
        <v>162</v>
      </c>
      <c r="D78" s="312">
        <f t="shared" si="63"/>
        <v>0.73701280665245128</v>
      </c>
      <c r="E78" s="166">
        <f t="shared" ref="E78:E85" si="74">E77</f>
        <v>172475</v>
      </c>
      <c r="F78" s="175">
        <v>1</v>
      </c>
      <c r="G78" s="180">
        <f t="shared" ref="G78:G79" si="75">D78*F78/E78</f>
        <v>4.2731573077399699E-6</v>
      </c>
      <c r="H78" s="354">
        <f t="shared" si="67"/>
        <v>100000</v>
      </c>
      <c r="I78" s="349"/>
      <c r="J78" s="214">
        <f t="shared" si="68"/>
        <v>0.42731573077399698</v>
      </c>
      <c r="K78" s="177"/>
      <c r="L78" s="450"/>
      <c r="M78" s="192">
        <v>3</v>
      </c>
      <c r="N78" s="239" t="s">
        <v>113</v>
      </c>
      <c r="O78" s="179" t="s">
        <v>162</v>
      </c>
      <c r="P78" s="312">
        <f t="shared" si="64"/>
        <v>0.26292736914524034</v>
      </c>
      <c r="Q78" s="216">
        <f t="shared" ref="Q78:Q85" si="76">Q77</f>
        <v>61530</v>
      </c>
      <c r="R78" s="217">
        <v>1</v>
      </c>
      <c r="S78" s="223">
        <f t="shared" si="69"/>
        <v>4.2731573077399699E-6</v>
      </c>
      <c r="T78" s="300">
        <f t="shared" si="70"/>
        <v>100000</v>
      </c>
      <c r="U78" s="338"/>
      <c r="V78" s="28">
        <f t="shared" si="65"/>
        <v>0.42731573077399698</v>
      </c>
      <c r="W78" s="450"/>
      <c r="X78" s="192">
        <v>3</v>
      </c>
      <c r="Y78" s="239" t="s">
        <v>113</v>
      </c>
      <c r="Z78" s="179" t="s">
        <v>162</v>
      </c>
      <c r="AA78" s="312">
        <f t="shared" si="66"/>
        <v>5.9824202308359581E-5</v>
      </c>
      <c r="AB78" s="216">
        <f t="shared" ref="AB78:AB85" si="77">AB77</f>
        <v>14</v>
      </c>
      <c r="AC78" s="217">
        <v>1</v>
      </c>
      <c r="AD78" s="223">
        <f t="shared" si="71"/>
        <v>4.2731573077399699E-6</v>
      </c>
      <c r="AE78" s="302">
        <v>100000</v>
      </c>
      <c r="AF78" s="338"/>
      <c r="AG78" s="28">
        <f t="shared" ref="AG78:AG86" si="78">AE78*AD78</f>
        <v>0.42731573077399698</v>
      </c>
      <c r="AH78" s="472"/>
      <c r="AI78" s="364">
        <f t="shared" si="72"/>
        <v>1</v>
      </c>
      <c r="AJ78" s="129">
        <v>225</v>
      </c>
      <c r="AK78" s="370">
        <f t="shared" ref="AK78:AK86" si="79">V78*Q78+J78*E78+AG78*AB78</f>
        <v>100000</v>
      </c>
      <c r="AL78" s="346">
        <v>100000</v>
      </c>
      <c r="AM78" s="134">
        <f t="shared" si="73"/>
        <v>0</v>
      </c>
    </row>
    <row r="79" spans="1:40" ht="39">
      <c r="A79" s="192">
        <v>4</v>
      </c>
      <c r="B79" s="219" t="s">
        <v>125</v>
      </c>
      <c r="C79" s="179" t="s">
        <v>162</v>
      </c>
      <c r="D79" s="312">
        <f t="shared" si="63"/>
        <v>0.73701280665245128</v>
      </c>
      <c r="E79" s="166">
        <f t="shared" si="74"/>
        <v>172475</v>
      </c>
      <c r="F79" s="175">
        <v>1</v>
      </c>
      <c r="G79" s="180">
        <f t="shared" si="75"/>
        <v>4.2731573077399699E-6</v>
      </c>
      <c r="H79" s="354">
        <f t="shared" si="67"/>
        <v>700000</v>
      </c>
      <c r="I79" s="349"/>
      <c r="J79" s="214">
        <f t="shared" si="68"/>
        <v>2.9912101154179789</v>
      </c>
      <c r="K79" s="177"/>
      <c r="L79" s="450"/>
      <c r="M79" s="192">
        <v>4</v>
      </c>
      <c r="N79" s="239" t="s">
        <v>125</v>
      </c>
      <c r="O79" s="179" t="s">
        <v>162</v>
      </c>
      <c r="P79" s="312">
        <f t="shared" si="64"/>
        <v>0.26292736914524034</v>
      </c>
      <c r="Q79" s="216">
        <f t="shared" si="76"/>
        <v>61530</v>
      </c>
      <c r="R79" s="217">
        <v>1</v>
      </c>
      <c r="S79" s="223">
        <f t="shared" si="69"/>
        <v>4.2731573077399699E-6</v>
      </c>
      <c r="T79" s="300">
        <f t="shared" si="70"/>
        <v>700000</v>
      </c>
      <c r="U79" s="338"/>
      <c r="V79" s="28">
        <f t="shared" si="65"/>
        <v>2.9912101154179789</v>
      </c>
      <c r="W79" s="450"/>
      <c r="X79" s="192">
        <v>4</v>
      </c>
      <c r="Y79" s="239" t="s">
        <v>125</v>
      </c>
      <c r="Z79" s="179" t="s">
        <v>162</v>
      </c>
      <c r="AA79" s="312">
        <f t="shared" si="66"/>
        <v>5.9824202308359581E-5</v>
      </c>
      <c r="AB79" s="216">
        <f t="shared" si="77"/>
        <v>14</v>
      </c>
      <c r="AC79" s="217">
        <v>1</v>
      </c>
      <c r="AD79" s="223">
        <f t="shared" si="71"/>
        <v>4.2731573077399699E-6</v>
      </c>
      <c r="AE79" s="300">
        <v>700000</v>
      </c>
      <c r="AF79" s="338"/>
      <c r="AG79" s="28">
        <f t="shared" si="78"/>
        <v>2.9912101154179789</v>
      </c>
      <c r="AH79" s="472"/>
      <c r="AI79" s="364">
        <f t="shared" si="72"/>
        <v>1</v>
      </c>
      <c r="AJ79" s="129">
        <v>225</v>
      </c>
      <c r="AK79" s="370">
        <f t="shared" si="79"/>
        <v>700000</v>
      </c>
      <c r="AL79" s="346">
        <v>700000</v>
      </c>
      <c r="AM79" s="134">
        <f t="shared" si="73"/>
        <v>0</v>
      </c>
    </row>
    <row r="80" spans="1:40" ht="39">
      <c r="A80" s="192">
        <v>6</v>
      </c>
      <c r="B80" s="219" t="s">
        <v>106</v>
      </c>
      <c r="C80" s="179" t="s">
        <v>162</v>
      </c>
      <c r="D80" s="312">
        <f t="shared" si="63"/>
        <v>0.73701280665245128</v>
      </c>
      <c r="E80" s="166">
        <f>E79</f>
        <v>172475</v>
      </c>
      <c r="F80" s="175">
        <v>1</v>
      </c>
      <c r="G80" s="180">
        <f t="shared" ref="G80" si="80">D80*F80/E80</f>
        <v>4.2731573077399699E-6</v>
      </c>
      <c r="H80" s="354">
        <f t="shared" si="67"/>
        <v>23058.25</v>
      </c>
      <c r="I80" s="349"/>
      <c r="J80" s="214">
        <f t="shared" si="68"/>
        <v>9.8531529491195161E-2</v>
      </c>
      <c r="K80" s="177"/>
      <c r="L80" s="450"/>
      <c r="M80" s="192">
        <v>6</v>
      </c>
      <c r="N80" s="239" t="s">
        <v>106</v>
      </c>
      <c r="O80" s="179" t="s">
        <v>162</v>
      </c>
      <c r="P80" s="312">
        <f t="shared" si="64"/>
        <v>0.26292736914524034</v>
      </c>
      <c r="Q80" s="216">
        <f>Q79</f>
        <v>61530</v>
      </c>
      <c r="R80" s="217">
        <v>1</v>
      </c>
      <c r="S80" s="223">
        <f t="shared" si="69"/>
        <v>4.2731573077399699E-6</v>
      </c>
      <c r="T80" s="300">
        <f t="shared" si="70"/>
        <v>23058.25</v>
      </c>
      <c r="U80" s="338"/>
      <c r="V80" s="28">
        <f t="shared" si="65"/>
        <v>9.8531529491195161E-2</v>
      </c>
      <c r="W80" s="450"/>
      <c r="X80" s="192">
        <v>6</v>
      </c>
      <c r="Y80" s="239" t="s">
        <v>106</v>
      </c>
      <c r="Z80" s="179" t="s">
        <v>162</v>
      </c>
      <c r="AA80" s="312">
        <f t="shared" si="66"/>
        <v>5.9824202308359581E-5</v>
      </c>
      <c r="AB80" s="216">
        <f>AB79</f>
        <v>14</v>
      </c>
      <c r="AC80" s="217">
        <v>1</v>
      </c>
      <c r="AD80" s="223">
        <f t="shared" si="71"/>
        <v>4.2731573077399699E-6</v>
      </c>
      <c r="AE80" s="300">
        <v>23058.25</v>
      </c>
      <c r="AF80" s="338"/>
      <c r="AG80" s="28">
        <f t="shared" si="78"/>
        <v>9.8531529491195161E-2</v>
      </c>
      <c r="AH80" s="472"/>
      <c r="AI80" s="364">
        <f t="shared" si="72"/>
        <v>1</v>
      </c>
      <c r="AJ80" s="129">
        <v>225</v>
      </c>
      <c r="AK80" s="370">
        <f t="shared" si="79"/>
        <v>23058.25</v>
      </c>
      <c r="AL80" s="346">
        <v>23058.25</v>
      </c>
      <c r="AM80" s="134">
        <f t="shared" si="73"/>
        <v>0</v>
      </c>
    </row>
    <row r="81" spans="1:40" ht="39">
      <c r="A81" s="192">
        <v>7</v>
      </c>
      <c r="B81" s="220" t="s">
        <v>183</v>
      </c>
      <c r="C81" s="179" t="s">
        <v>162</v>
      </c>
      <c r="D81" s="312">
        <f t="shared" si="63"/>
        <v>0.73701280665245128</v>
      </c>
      <c r="E81" s="166">
        <f t="shared" si="74"/>
        <v>172475</v>
      </c>
      <c r="F81" s="175">
        <v>1</v>
      </c>
      <c r="G81" s="180">
        <f t="shared" ref="G81:G86" si="81">D81*F81/E81</f>
        <v>4.2731573077399699E-6</v>
      </c>
      <c r="H81" s="354">
        <f t="shared" si="67"/>
        <v>96800</v>
      </c>
      <c r="I81" s="349"/>
      <c r="J81" s="214">
        <f t="shared" ref="J81:J83" si="82">H81*G81</f>
        <v>0.41364162738922911</v>
      </c>
      <c r="K81" s="177"/>
      <c r="L81" s="450"/>
      <c r="M81" s="192">
        <v>7</v>
      </c>
      <c r="N81" s="240" t="s">
        <v>183</v>
      </c>
      <c r="O81" s="179" t="s">
        <v>162</v>
      </c>
      <c r="P81" s="312">
        <f t="shared" si="64"/>
        <v>0.26292736914524034</v>
      </c>
      <c r="Q81" s="216">
        <f t="shared" si="76"/>
        <v>61530</v>
      </c>
      <c r="R81" s="217">
        <v>1</v>
      </c>
      <c r="S81" s="223">
        <f t="shared" si="69"/>
        <v>4.2731573077399699E-6</v>
      </c>
      <c r="T81" s="300">
        <f t="shared" si="70"/>
        <v>96800</v>
      </c>
      <c r="U81" s="338"/>
      <c r="V81" s="28">
        <f t="shared" si="65"/>
        <v>0.41364162738922911</v>
      </c>
      <c r="W81" s="450"/>
      <c r="X81" s="192">
        <v>7</v>
      </c>
      <c r="Y81" s="240" t="s">
        <v>183</v>
      </c>
      <c r="Z81" s="179" t="s">
        <v>162</v>
      </c>
      <c r="AA81" s="312">
        <f t="shared" si="66"/>
        <v>5.9824202308359581E-5</v>
      </c>
      <c r="AB81" s="216">
        <f t="shared" si="77"/>
        <v>14</v>
      </c>
      <c r="AC81" s="217">
        <v>1</v>
      </c>
      <c r="AD81" s="223">
        <f t="shared" si="71"/>
        <v>4.2731573077399699E-6</v>
      </c>
      <c r="AE81" s="300">
        <v>96800</v>
      </c>
      <c r="AF81" s="338"/>
      <c r="AG81" s="28">
        <f t="shared" si="78"/>
        <v>0.41364162738922911</v>
      </c>
      <c r="AH81" s="472"/>
      <c r="AI81" s="364">
        <f t="shared" si="72"/>
        <v>1</v>
      </c>
      <c r="AJ81" s="129">
        <v>225</v>
      </c>
      <c r="AK81" s="370">
        <f t="shared" si="79"/>
        <v>96800.000000000015</v>
      </c>
      <c r="AL81" s="346">
        <v>96800</v>
      </c>
      <c r="AM81" s="134">
        <f t="shared" si="73"/>
        <v>0</v>
      </c>
    </row>
    <row r="82" spans="1:40" ht="39">
      <c r="A82" s="192">
        <v>8</v>
      </c>
      <c r="B82" s="220" t="s">
        <v>184</v>
      </c>
      <c r="C82" s="179" t="s">
        <v>162</v>
      </c>
      <c r="D82" s="312">
        <f t="shared" si="63"/>
        <v>0.73701280665245128</v>
      </c>
      <c r="E82" s="166">
        <f t="shared" si="74"/>
        <v>172475</v>
      </c>
      <c r="F82" s="175">
        <v>1</v>
      </c>
      <c r="G82" s="180">
        <f t="shared" si="81"/>
        <v>4.2731573077399699E-6</v>
      </c>
      <c r="H82" s="354">
        <f t="shared" si="67"/>
        <v>90000</v>
      </c>
      <c r="I82" s="350"/>
      <c r="J82" s="221">
        <f t="shared" si="82"/>
        <v>0.38458415769659732</v>
      </c>
      <c r="K82" s="177"/>
      <c r="L82" s="450"/>
      <c r="M82" s="192">
        <v>8</v>
      </c>
      <c r="N82" s="240" t="s">
        <v>184</v>
      </c>
      <c r="O82" s="179" t="s">
        <v>162</v>
      </c>
      <c r="P82" s="312">
        <f t="shared" si="64"/>
        <v>0.26292736914524034</v>
      </c>
      <c r="Q82" s="216">
        <f t="shared" si="76"/>
        <v>61530</v>
      </c>
      <c r="R82" s="217">
        <v>1</v>
      </c>
      <c r="S82" s="223">
        <f t="shared" si="69"/>
        <v>4.2731573077399699E-6</v>
      </c>
      <c r="T82" s="300">
        <f t="shared" si="70"/>
        <v>90000</v>
      </c>
      <c r="U82" s="351"/>
      <c r="V82" s="133">
        <f t="shared" si="65"/>
        <v>0.38458415769659732</v>
      </c>
      <c r="W82" s="450"/>
      <c r="X82" s="192">
        <v>8</v>
      </c>
      <c r="Y82" s="240" t="s">
        <v>184</v>
      </c>
      <c r="Z82" s="179" t="s">
        <v>162</v>
      </c>
      <c r="AA82" s="312">
        <f t="shared" si="66"/>
        <v>5.9824202308359581E-5</v>
      </c>
      <c r="AB82" s="216">
        <f t="shared" si="77"/>
        <v>14</v>
      </c>
      <c r="AC82" s="217">
        <v>1</v>
      </c>
      <c r="AD82" s="223">
        <f t="shared" si="71"/>
        <v>4.2731573077399699E-6</v>
      </c>
      <c r="AE82" s="333">
        <v>90000</v>
      </c>
      <c r="AF82" s="351"/>
      <c r="AG82" s="133">
        <f t="shared" si="78"/>
        <v>0.38458415769659732</v>
      </c>
      <c r="AH82" s="472"/>
      <c r="AI82" s="364">
        <f t="shared" si="72"/>
        <v>1</v>
      </c>
      <c r="AJ82" s="129">
        <v>225</v>
      </c>
      <c r="AK82" s="370">
        <f t="shared" si="79"/>
        <v>90000.000000000015</v>
      </c>
      <c r="AL82" s="346">
        <v>90000</v>
      </c>
      <c r="AM82" s="134">
        <f t="shared" si="73"/>
        <v>0</v>
      </c>
    </row>
    <row r="83" spans="1:40" ht="39">
      <c r="A83" s="192">
        <v>9</v>
      </c>
      <c r="B83" s="220" t="s">
        <v>185</v>
      </c>
      <c r="C83" s="179" t="s">
        <v>162</v>
      </c>
      <c r="D83" s="312">
        <f t="shared" si="63"/>
        <v>0.73701280665245128</v>
      </c>
      <c r="E83" s="166">
        <f t="shared" si="74"/>
        <v>172475</v>
      </c>
      <c r="F83" s="175">
        <v>1</v>
      </c>
      <c r="G83" s="180">
        <f t="shared" si="81"/>
        <v>4.2731573077399699E-6</v>
      </c>
      <c r="H83" s="354">
        <f t="shared" si="67"/>
        <v>220000</v>
      </c>
      <c r="I83" s="350"/>
      <c r="J83" s="221">
        <f t="shared" si="82"/>
        <v>0.94009460770279341</v>
      </c>
      <c r="K83" s="177"/>
      <c r="L83" s="450"/>
      <c r="M83" s="192">
        <v>9</v>
      </c>
      <c r="N83" s="240" t="s">
        <v>185</v>
      </c>
      <c r="O83" s="179" t="s">
        <v>162</v>
      </c>
      <c r="P83" s="312">
        <f t="shared" si="64"/>
        <v>0.26292736914524034</v>
      </c>
      <c r="Q83" s="216">
        <f t="shared" si="76"/>
        <v>61530</v>
      </c>
      <c r="R83" s="217">
        <v>1</v>
      </c>
      <c r="S83" s="223">
        <f t="shared" si="69"/>
        <v>4.2731573077399699E-6</v>
      </c>
      <c r="T83" s="300">
        <f t="shared" si="70"/>
        <v>220000</v>
      </c>
      <c r="U83" s="351"/>
      <c r="V83" s="133">
        <f t="shared" si="65"/>
        <v>0.94009460770279341</v>
      </c>
      <c r="W83" s="450"/>
      <c r="X83" s="192">
        <v>9</v>
      </c>
      <c r="Y83" s="240" t="s">
        <v>185</v>
      </c>
      <c r="Z83" s="179" t="s">
        <v>162</v>
      </c>
      <c r="AA83" s="312">
        <f t="shared" si="66"/>
        <v>5.9824202308359581E-5</v>
      </c>
      <c r="AB83" s="216">
        <f t="shared" si="77"/>
        <v>14</v>
      </c>
      <c r="AC83" s="217">
        <v>1</v>
      </c>
      <c r="AD83" s="223">
        <f t="shared" si="71"/>
        <v>4.2731573077399699E-6</v>
      </c>
      <c r="AE83" s="333">
        <v>220000</v>
      </c>
      <c r="AF83" s="351"/>
      <c r="AG83" s="133">
        <f t="shared" si="78"/>
        <v>0.94009460770279341</v>
      </c>
      <c r="AH83" s="472"/>
      <c r="AI83" s="364">
        <f t="shared" si="72"/>
        <v>1</v>
      </c>
      <c r="AJ83" s="129">
        <v>225</v>
      </c>
      <c r="AK83" s="370">
        <f t="shared" si="79"/>
        <v>220000</v>
      </c>
      <c r="AL83" s="346">
        <v>220000</v>
      </c>
      <c r="AM83" s="134">
        <f t="shared" si="73"/>
        <v>0</v>
      </c>
    </row>
    <row r="84" spans="1:40" ht="39">
      <c r="A84" s="192">
        <v>10</v>
      </c>
      <c r="B84" s="220" t="s">
        <v>186</v>
      </c>
      <c r="C84" s="179" t="s">
        <v>162</v>
      </c>
      <c r="D84" s="312">
        <f t="shared" si="63"/>
        <v>0.73701280665245128</v>
      </c>
      <c r="E84" s="166">
        <f t="shared" si="74"/>
        <v>172475</v>
      </c>
      <c r="F84" s="175">
        <v>1</v>
      </c>
      <c r="G84" s="180">
        <f t="shared" si="81"/>
        <v>4.2731573077399699E-6</v>
      </c>
      <c r="H84" s="354">
        <f t="shared" si="67"/>
        <v>60000</v>
      </c>
      <c r="I84" s="350"/>
      <c r="J84" s="221">
        <f t="shared" ref="J84:J86" si="83">H84*G84</f>
        <v>0.25638943846439821</v>
      </c>
      <c r="K84" s="177"/>
      <c r="L84" s="450"/>
      <c r="M84" s="192">
        <v>10</v>
      </c>
      <c r="N84" s="240" t="s">
        <v>186</v>
      </c>
      <c r="O84" s="179" t="s">
        <v>162</v>
      </c>
      <c r="P84" s="312">
        <f t="shared" si="64"/>
        <v>0.26292736914524034</v>
      </c>
      <c r="Q84" s="216">
        <f t="shared" si="76"/>
        <v>61530</v>
      </c>
      <c r="R84" s="217">
        <v>1</v>
      </c>
      <c r="S84" s="223">
        <f t="shared" si="69"/>
        <v>4.2731573077399699E-6</v>
      </c>
      <c r="T84" s="300">
        <f t="shared" si="70"/>
        <v>60000</v>
      </c>
      <c r="U84" s="351"/>
      <c r="V84" s="133">
        <f t="shared" si="65"/>
        <v>0.25638943846439821</v>
      </c>
      <c r="W84" s="450"/>
      <c r="X84" s="192">
        <v>10</v>
      </c>
      <c r="Y84" s="240" t="s">
        <v>186</v>
      </c>
      <c r="Z84" s="179" t="s">
        <v>162</v>
      </c>
      <c r="AA84" s="312">
        <f t="shared" si="66"/>
        <v>5.9824202308359581E-5</v>
      </c>
      <c r="AB84" s="216">
        <f t="shared" si="77"/>
        <v>14</v>
      </c>
      <c r="AC84" s="217">
        <v>1</v>
      </c>
      <c r="AD84" s="223">
        <f t="shared" si="71"/>
        <v>4.2731573077399699E-6</v>
      </c>
      <c r="AE84" s="333">
        <v>60000</v>
      </c>
      <c r="AF84" s="351"/>
      <c r="AG84" s="133">
        <f t="shared" si="78"/>
        <v>0.25638943846439821</v>
      </c>
      <c r="AH84" s="472"/>
      <c r="AI84" s="364">
        <f t="shared" si="72"/>
        <v>1</v>
      </c>
      <c r="AJ84" s="129">
        <v>225</v>
      </c>
      <c r="AK84" s="370">
        <f t="shared" si="79"/>
        <v>60000.000000000007</v>
      </c>
      <c r="AL84" s="346">
        <v>60000</v>
      </c>
      <c r="AM84" s="134">
        <f t="shared" si="73"/>
        <v>0</v>
      </c>
    </row>
    <row r="85" spans="1:40" ht="39">
      <c r="A85" s="194"/>
      <c r="B85" s="220" t="str">
        <f>N85</f>
        <v>Работы по замене гнутых поперечин на хоккейной коробке п. Тея</v>
      </c>
      <c r="C85" s="362" t="str">
        <f>O85</f>
        <v>договор (сумма в год)</v>
      </c>
      <c r="D85" s="312">
        <f t="shared" si="63"/>
        <v>0.73701280665245128</v>
      </c>
      <c r="E85" s="166">
        <f t="shared" si="74"/>
        <v>172475</v>
      </c>
      <c r="F85" s="175">
        <v>1</v>
      </c>
      <c r="G85" s="180">
        <f t="shared" ref="G85" si="84">D85*F85/E85</f>
        <v>4.2731573077399699E-6</v>
      </c>
      <c r="H85" s="354">
        <f t="shared" ref="H85" si="85">T85</f>
        <v>0</v>
      </c>
      <c r="I85" s="350"/>
      <c r="J85" s="221">
        <f t="shared" ref="J85" si="86">H85*G85</f>
        <v>0</v>
      </c>
      <c r="K85" s="177"/>
      <c r="L85" s="450"/>
      <c r="M85" s="194"/>
      <c r="N85" s="240" t="str">
        <f>Y85</f>
        <v>Работы по замене гнутых поперечин на хоккейной коробке п. Тея</v>
      </c>
      <c r="O85" s="362" t="str">
        <f>Z85</f>
        <v>договор (сумма в год)</v>
      </c>
      <c r="P85" s="312">
        <f t="shared" si="64"/>
        <v>0.26292736914524034</v>
      </c>
      <c r="Q85" s="216">
        <f t="shared" si="76"/>
        <v>61530</v>
      </c>
      <c r="R85" s="217">
        <v>1</v>
      </c>
      <c r="S85" s="223">
        <f t="shared" ref="S85" si="87">P85*R85/Q85</f>
        <v>4.2731573077399699E-6</v>
      </c>
      <c r="T85" s="300">
        <f t="shared" ref="T85" si="88">AE85</f>
        <v>0</v>
      </c>
      <c r="U85" s="351"/>
      <c r="V85" s="133">
        <f t="shared" ref="V85" si="89">T85*S85</f>
        <v>0</v>
      </c>
      <c r="W85" s="450"/>
      <c r="X85" s="192">
        <v>11</v>
      </c>
      <c r="Y85" s="240" t="s">
        <v>235</v>
      </c>
      <c r="Z85" s="179" t="s">
        <v>162</v>
      </c>
      <c r="AA85" s="312">
        <f t="shared" si="66"/>
        <v>5.9824202308359581E-5</v>
      </c>
      <c r="AB85" s="216">
        <f t="shared" si="77"/>
        <v>14</v>
      </c>
      <c r="AC85" s="217">
        <v>1</v>
      </c>
      <c r="AD85" s="223">
        <f t="shared" ref="AD85" si="90">AA85*AC85/AB85</f>
        <v>4.2731573077399699E-6</v>
      </c>
      <c r="AE85" s="333">
        <v>0</v>
      </c>
      <c r="AF85" s="351"/>
      <c r="AG85" s="133">
        <f t="shared" ref="AG85" si="91">AE85*AD85</f>
        <v>0</v>
      </c>
      <c r="AH85" s="472"/>
      <c r="AI85" s="364">
        <f t="shared" si="72"/>
        <v>1</v>
      </c>
      <c r="AJ85" s="129">
        <v>225</v>
      </c>
      <c r="AK85" s="370">
        <f t="shared" si="79"/>
        <v>0</v>
      </c>
      <c r="AL85" s="346"/>
      <c r="AM85" s="134">
        <f t="shared" si="73"/>
        <v>0</v>
      </c>
    </row>
    <row r="86" spans="1:40" ht="39">
      <c r="A86" s="192">
        <v>11</v>
      </c>
      <c r="B86" s="219" t="str">
        <f>N86</f>
        <v>Промывка и опрессовка систем отопления</v>
      </c>
      <c r="C86" s="179" t="s">
        <v>162</v>
      </c>
      <c r="D86" s="312">
        <f t="shared" si="63"/>
        <v>0.73701280665245128</v>
      </c>
      <c r="E86" s="166">
        <f>E84</f>
        <v>172475</v>
      </c>
      <c r="F86" s="175">
        <v>1</v>
      </c>
      <c r="G86" s="180">
        <f t="shared" si="81"/>
        <v>4.2731573077399699E-6</v>
      </c>
      <c r="H86" s="354">
        <f t="shared" si="67"/>
        <v>40000</v>
      </c>
      <c r="I86" s="349"/>
      <c r="J86" s="221">
        <f t="shared" si="83"/>
        <v>0.1709262923095988</v>
      </c>
      <c r="K86" s="185"/>
      <c r="L86" s="450"/>
      <c r="M86" s="192">
        <v>11</v>
      </c>
      <c r="N86" s="239" t="s">
        <v>199</v>
      </c>
      <c r="O86" s="179" t="s">
        <v>162</v>
      </c>
      <c r="P86" s="312">
        <f t="shared" si="64"/>
        <v>0.26292736914524034</v>
      </c>
      <c r="Q86" s="216">
        <f>Q84</f>
        <v>61530</v>
      </c>
      <c r="R86" s="217">
        <v>1</v>
      </c>
      <c r="S86" s="223">
        <f>P86*R86/Q86</f>
        <v>4.2731573077399699E-6</v>
      </c>
      <c r="T86" s="300">
        <f t="shared" si="70"/>
        <v>40000</v>
      </c>
      <c r="U86" s="349"/>
      <c r="V86" s="28">
        <f t="shared" si="65"/>
        <v>0.1709262923095988</v>
      </c>
      <c r="W86" s="450"/>
      <c r="X86" s="192">
        <v>12</v>
      </c>
      <c r="Y86" s="239" t="s">
        <v>199</v>
      </c>
      <c r="Z86" s="179" t="s">
        <v>162</v>
      </c>
      <c r="AA86" s="312">
        <f t="shared" si="66"/>
        <v>5.9824202308359581E-5</v>
      </c>
      <c r="AB86" s="216">
        <f>AB84</f>
        <v>14</v>
      </c>
      <c r="AC86" s="217">
        <v>1</v>
      </c>
      <c r="AD86" s="223">
        <f>AA86*AC86/AB86</f>
        <v>4.2731573077399699E-6</v>
      </c>
      <c r="AE86" s="300">
        <v>40000</v>
      </c>
      <c r="AF86" s="349"/>
      <c r="AG86" s="28">
        <f t="shared" si="78"/>
        <v>0.1709262923095988</v>
      </c>
      <c r="AH86" s="472"/>
      <c r="AI86" s="364">
        <f t="shared" si="72"/>
        <v>1</v>
      </c>
      <c r="AJ86" s="129">
        <v>225</v>
      </c>
      <c r="AK86" s="370">
        <f t="shared" si="79"/>
        <v>40000</v>
      </c>
      <c r="AL86" s="346">
        <v>40000</v>
      </c>
      <c r="AM86" s="134">
        <f t="shared" si="73"/>
        <v>0</v>
      </c>
    </row>
    <row r="87" spans="1:40">
      <c r="A87" s="488" t="s">
        <v>26</v>
      </c>
      <c r="B87" s="489"/>
      <c r="C87" s="489"/>
      <c r="D87" s="489"/>
      <c r="E87" s="489"/>
      <c r="F87" s="489"/>
      <c r="G87" s="489"/>
      <c r="H87" s="489"/>
      <c r="I87" s="490"/>
      <c r="J87" s="222">
        <f>SUM(J76:J86)</f>
        <v>6.8148306334101072</v>
      </c>
      <c r="K87" s="186"/>
      <c r="L87" s="451"/>
      <c r="M87" s="464" t="s">
        <v>26</v>
      </c>
      <c r="N87" s="465"/>
      <c r="O87" s="465"/>
      <c r="P87" s="465"/>
      <c r="Q87" s="465"/>
      <c r="R87" s="465"/>
      <c r="S87" s="465"/>
      <c r="T87" s="465"/>
      <c r="U87" s="466"/>
      <c r="V87" s="30">
        <f>SUM(V76:V86)</f>
        <v>6.8148306334101072</v>
      </c>
      <c r="W87" s="451"/>
      <c r="X87" s="464" t="s">
        <v>26</v>
      </c>
      <c r="Y87" s="465"/>
      <c r="Z87" s="465"/>
      <c r="AA87" s="465"/>
      <c r="AB87" s="465"/>
      <c r="AC87" s="465"/>
      <c r="AD87" s="465"/>
      <c r="AE87" s="465"/>
      <c r="AF87" s="466"/>
      <c r="AG87" s="30">
        <f>SUM(AG76:AG86)</f>
        <v>6.8148306334101072</v>
      </c>
      <c r="AH87" s="451"/>
      <c r="AI87" s="286"/>
      <c r="AJ87" s="14">
        <f>V87*Q86+J87*E86+AG87*AB86</f>
        <v>1594799.8499999999</v>
      </c>
      <c r="AK87" s="322">
        <f>SUM(AK76:AK86)</f>
        <v>1594799.85</v>
      </c>
      <c r="AL87" s="366">
        <f>AG165</f>
        <v>1417799.85</v>
      </c>
      <c r="AM87" s="271">
        <f>AL87-AK87-AK77</f>
        <v>-354000</v>
      </c>
      <c r="AN87" s="134"/>
    </row>
    <row r="88" spans="1:40" ht="15" customHeight="1">
      <c r="A88" s="468" t="s">
        <v>60</v>
      </c>
      <c r="B88" s="469"/>
      <c r="C88" s="469"/>
      <c r="D88" s="469"/>
      <c r="E88" s="469"/>
      <c r="F88" s="469"/>
      <c r="G88" s="469"/>
      <c r="H88" s="469"/>
      <c r="I88" s="469"/>
      <c r="J88" s="469"/>
      <c r="K88" s="469"/>
      <c r="L88" s="470"/>
      <c r="M88" s="468" t="s">
        <v>60</v>
      </c>
      <c r="N88" s="469"/>
      <c r="O88" s="469"/>
      <c r="P88" s="469"/>
      <c r="Q88" s="469"/>
      <c r="R88" s="469"/>
      <c r="S88" s="469"/>
      <c r="T88" s="469"/>
      <c r="U88" s="469"/>
      <c r="V88" s="469"/>
      <c r="W88" s="470"/>
      <c r="X88" s="468" t="s">
        <v>60</v>
      </c>
      <c r="Y88" s="469"/>
      <c r="Z88" s="469"/>
      <c r="AA88" s="469"/>
      <c r="AB88" s="469"/>
      <c r="AC88" s="469"/>
      <c r="AD88" s="469"/>
      <c r="AE88" s="469"/>
      <c r="AF88" s="469"/>
      <c r="AG88" s="469"/>
      <c r="AH88" s="470"/>
      <c r="AI88" s="285"/>
    </row>
    <row r="89" spans="1:40" hidden="1">
      <c r="A89" s="192"/>
      <c r="B89" s="20"/>
      <c r="C89" s="20"/>
      <c r="D89" s="5"/>
      <c r="E89" s="51">
        <v>405150</v>
      </c>
      <c r="F89" s="52"/>
      <c r="G89" s="59">
        <f t="shared" ref="G89:G91" si="92">D89*F89/E89</f>
        <v>0</v>
      </c>
      <c r="H89" s="334"/>
      <c r="I89" s="349"/>
      <c r="J89" s="28">
        <f>H89*G89</f>
        <v>0</v>
      </c>
      <c r="K89" s="128"/>
      <c r="L89" s="8"/>
      <c r="M89" s="192"/>
      <c r="N89" s="20"/>
      <c r="O89" s="20"/>
      <c r="P89" s="5"/>
      <c r="Q89" s="51">
        <v>405150</v>
      </c>
      <c r="R89" s="52"/>
      <c r="S89" s="59">
        <f t="shared" ref="S89:S91" si="93">P89*R89/Q89</f>
        <v>0</v>
      </c>
      <c r="T89" s="334"/>
      <c r="U89" s="349"/>
      <c r="V89" s="28">
        <f>T89*S89</f>
        <v>0</v>
      </c>
      <c r="W89" s="8"/>
      <c r="X89" s="192"/>
      <c r="Y89" s="20"/>
      <c r="Z89" s="20"/>
      <c r="AA89" s="313"/>
      <c r="AB89" s="51">
        <v>405150</v>
      </c>
      <c r="AC89" s="52"/>
      <c r="AD89" s="59">
        <f t="shared" ref="AD89:AD91" si="94">AA89*AC89/AB89</f>
        <v>0</v>
      </c>
      <c r="AE89" s="334"/>
      <c r="AF89" s="349"/>
      <c r="AG89" s="28">
        <f>AE89*AD89</f>
        <v>0</v>
      </c>
      <c r="AH89" s="8"/>
      <c r="AI89" s="272"/>
    </row>
    <row r="90" spans="1:40" hidden="1">
      <c r="A90" s="192"/>
      <c r="B90" s="20"/>
      <c r="C90" s="20"/>
      <c r="D90" s="5"/>
      <c r="E90" s="51">
        <v>405150</v>
      </c>
      <c r="F90" s="52"/>
      <c r="G90" s="59">
        <f t="shared" si="92"/>
        <v>0</v>
      </c>
      <c r="H90" s="335"/>
      <c r="I90" s="349"/>
      <c r="J90" s="28">
        <f>H90*G90</f>
        <v>0</v>
      </c>
      <c r="K90" s="128"/>
      <c r="L90" s="8"/>
      <c r="M90" s="192"/>
      <c r="N90" s="20"/>
      <c r="O90" s="20"/>
      <c r="P90" s="5"/>
      <c r="Q90" s="51">
        <v>405150</v>
      </c>
      <c r="R90" s="52"/>
      <c r="S90" s="59">
        <f t="shared" si="93"/>
        <v>0</v>
      </c>
      <c r="T90" s="335"/>
      <c r="U90" s="349"/>
      <c r="V90" s="28">
        <f>T90*S90</f>
        <v>0</v>
      </c>
      <c r="W90" s="8"/>
      <c r="X90" s="192"/>
      <c r="Y90" s="20"/>
      <c r="Z90" s="20"/>
      <c r="AA90" s="313"/>
      <c r="AB90" s="51">
        <v>405150</v>
      </c>
      <c r="AC90" s="52"/>
      <c r="AD90" s="59">
        <f t="shared" si="94"/>
        <v>0</v>
      </c>
      <c r="AE90" s="335"/>
      <c r="AF90" s="349"/>
      <c r="AG90" s="28">
        <f>AE90*AD90</f>
        <v>0</v>
      </c>
      <c r="AH90" s="8"/>
      <c r="AI90" s="272"/>
    </row>
    <row r="91" spans="1:40" hidden="1">
      <c r="A91" s="192"/>
      <c r="B91" s="20"/>
      <c r="C91" s="20"/>
      <c r="D91" s="5"/>
      <c r="E91" s="51">
        <v>405150</v>
      </c>
      <c r="F91" s="52"/>
      <c r="G91" s="59">
        <f t="shared" si="92"/>
        <v>0</v>
      </c>
      <c r="H91" s="335"/>
      <c r="I91" s="349"/>
      <c r="J91" s="28">
        <f>H91*G91</f>
        <v>0</v>
      </c>
      <c r="K91" s="128"/>
      <c r="L91" s="8"/>
      <c r="M91" s="192"/>
      <c r="N91" s="20"/>
      <c r="O91" s="20"/>
      <c r="P91" s="5"/>
      <c r="Q91" s="51">
        <v>405150</v>
      </c>
      <c r="R91" s="52"/>
      <c r="S91" s="59">
        <f t="shared" si="93"/>
        <v>0</v>
      </c>
      <c r="T91" s="335"/>
      <c r="U91" s="349"/>
      <c r="V91" s="28">
        <f>T91*S91</f>
        <v>0</v>
      </c>
      <c r="W91" s="8"/>
      <c r="X91" s="192"/>
      <c r="Y91" s="20"/>
      <c r="Z91" s="20"/>
      <c r="AA91" s="313"/>
      <c r="AB91" s="51">
        <v>405150</v>
      </c>
      <c r="AC91" s="52"/>
      <c r="AD91" s="59">
        <f t="shared" si="94"/>
        <v>0</v>
      </c>
      <c r="AE91" s="335"/>
      <c r="AF91" s="349"/>
      <c r="AG91" s="28">
        <f>AE91*AD91</f>
        <v>0</v>
      </c>
      <c r="AH91" s="8"/>
      <c r="AI91" s="272"/>
    </row>
    <row r="92" spans="1:40">
      <c r="A92" s="488" t="s">
        <v>26</v>
      </c>
      <c r="B92" s="489"/>
      <c r="C92" s="489"/>
      <c r="D92" s="489"/>
      <c r="E92" s="489"/>
      <c r="F92" s="489"/>
      <c r="G92" s="489"/>
      <c r="H92" s="489"/>
      <c r="I92" s="490"/>
      <c r="J92" s="222">
        <f>SUM(J89:J91)</f>
        <v>0</v>
      </c>
      <c r="K92" s="186"/>
      <c r="L92" s="8"/>
      <c r="M92" s="430" t="s">
        <v>26</v>
      </c>
      <c r="N92" s="431"/>
      <c r="O92" s="431"/>
      <c r="P92" s="431"/>
      <c r="Q92" s="431"/>
      <c r="R92" s="431"/>
      <c r="S92" s="431"/>
      <c r="T92" s="431"/>
      <c r="U92" s="432"/>
      <c r="V92" s="30">
        <f>SUM(V89:V91)</f>
        <v>0</v>
      </c>
      <c r="W92" s="8"/>
      <c r="X92" s="430" t="s">
        <v>26</v>
      </c>
      <c r="Y92" s="431"/>
      <c r="Z92" s="431"/>
      <c r="AA92" s="431"/>
      <c r="AB92" s="431"/>
      <c r="AC92" s="431"/>
      <c r="AD92" s="431"/>
      <c r="AE92" s="431"/>
      <c r="AF92" s="432"/>
      <c r="AG92" s="30">
        <f>SUM(AG89:AG91)</f>
        <v>0</v>
      </c>
      <c r="AH92" s="363"/>
      <c r="AI92" s="272"/>
    </row>
    <row r="93" spans="1:40" ht="15" customHeight="1">
      <c r="A93" s="433" t="s">
        <v>20</v>
      </c>
      <c r="B93" s="434"/>
      <c r="C93" s="434"/>
      <c r="D93" s="434"/>
      <c r="E93" s="434"/>
      <c r="F93" s="434"/>
      <c r="G93" s="434"/>
      <c r="H93" s="434"/>
      <c r="I93" s="434"/>
      <c r="J93" s="434"/>
      <c r="K93" s="434"/>
      <c r="L93" s="435"/>
      <c r="M93" s="433" t="s">
        <v>20</v>
      </c>
      <c r="N93" s="434"/>
      <c r="O93" s="434"/>
      <c r="P93" s="434"/>
      <c r="Q93" s="434"/>
      <c r="R93" s="434"/>
      <c r="S93" s="434"/>
      <c r="T93" s="434"/>
      <c r="U93" s="434"/>
      <c r="V93" s="434"/>
      <c r="W93" s="435"/>
      <c r="X93" s="433" t="s">
        <v>20</v>
      </c>
      <c r="Y93" s="434"/>
      <c r="Z93" s="434"/>
      <c r="AA93" s="434"/>
      <c r="AB93" s="434"/>
      <c r="AC93" s="434"/>
      <c r="AD93" s="434"/>
      <c r="AE93" s="434"/>
      <c r="AF93" s="434"/>
      <c r="AG93" s="434"/>
      <c r="AH93" s="469"/>
      <c r="AI93" s="285"/>
    </row>
    <row r="94" spans="1:40" ht="39" customHeight="1">
      <c r="A94" s="192">
        <v>1</v>
      </c>
      <c r="B94" s="219" t="s">
        <v>21</v>
      </c>
      <c r="C94" s="179" t="s">
        <v>162</v>
      </c>
      <c r="D94" s="174">
        <f>2/234005*E94</f>
        <v>1.4741138009871584</v>
      </c>
      <c r="E94" s="216">
        <f>E86</f>
        <v>172475</v>
      </c>
      <c r="F94" s="217">
        <v>1</v>
      </c>
      <c r="G94" s="223">
        <f t="shared" ref="G94:G96" si="95">D94*F94/E94</f>
        <v>8.5468259225230232E-6</v>
      </c>
      <c r="H94" s="300">
        <f>T94</f>
        <v>42412</v>
      </c>
      <c r="I94" s="336"/>
      <c r="J94" s="214">
        <f>G94*H94</f>
        <v>0.36248798102604646</v>
      </c>
      <c r="K94" s="176"/>
      <c r="L94" s="467" t="s">
        <v>164</v>
      </c>
      <c r="M94" s="192">
        <v>1</v>
      </c>
      <c r="N94" s="239" t="s">
        <v>21</v>
      </c>
      <c r="O94" s="179" t="s">
        <v>162</v>
      </c>
      <c r="P94" s="174">
        <f>2/234005*Q94</f>
        <v>0.52588619901284162</v>
      </c>
      <c r="Q94" s="216">
        <f>Q86</f>
        <v>61530</v>
      </c>
      <c r="R94" s="217">
        <v>1</v>
      </c>
      <c r="S94" s="223">
        <f t="shared" ref="S94:S96" si="96">P94*R94/Q94</f>
        <v>8.5468259225230232E-6</v>
      </c>
      <c r="T94" s="336">
        <f>AE94</f>
        <v>42412</v>
      </c>
      <c r="U94" s="336"/>
      <c r="V94" s="28">
        <f>S94*T94</f>
        <v>0.36248798102604646</v>
      </c>
      <c r="W94" s="471" t="s">
        <v>164</v>
      </c>
      <c r="X94" s="192">
        <v>1</v>
      </c>
      <c r="Y94" s="239" t="s">
        <v>21</v>
      </c>
      <c r="Z94" s="179" t="s">
        <v>162</v>
      </c>
      <c r="AA94" s="312">
        <v>1</v>
      </c>
      <c r="AB94" s="216">
        <f>AB86</f>
        <v>14</v>
      </c>
      <c r="AC94" s="217">
        <v>1</v>
      </c>
      <c r="AD94" s="223">
        <f t="shared" ref="AD94:AD96" si="97">AA94*AC94/AB94</f>
        <v>7.1428571428571425E-2</v>
      </c>
      <c r="AE94" s="336">
        <v>42412</v>
      </c>
      <c r="AF94" s="336"/>
      <c r="AG94" s="28">
        <f>AD94*AE94</f>
        <v>3029.4285714285711</v>
      </c>
      <c r="AH94" s="471" t="s">
        <v>164</v>
      </c>
      <c r="AI94" s="364">
        <f>AA94+P94+D94</f>
        <v>3</v>
      </c>
      <c r="AJ94" s="129">
        <v>221</v>
      </c>
      <c r="AK94" s="371">
        <f t="shared" ref="AK94:AK96" si="98">V94*Q94+J94*E94+AG94*AB94</f>
        <v>127236</v>
      </c>
      <c r="AL94" s="346">
        <v>127236</v>
      </c>
    </row>
    <row r="95" spans="1:40" ht="38.25" customHeight="1">
      <c r="A95" s="192">
        <v>2</v>
      </c>
      <c r="B95" s="219" t="s">
        <v>23</v>
      </c>
      <c r="C95" s="179" t="s">
        <v>162</v>
      </c>
      <c r="D95" s="174">
        <f>ROUND(1/234005*E95,2)</f>
        <v>0.74</v>
      </c>
      <c r="E95" s="216">
        <f>E94</f>
        <v>172475</v>
      </c>
      <c r="F95" s="217">
        <v>1</v>
      </c>
      <c r="G95" s="223">
        <f t="shared" si="95"/>
        <v>4.2904768807073486E-6</v>
      </c>
      <c r="H95" s="300">
        <f>T95</f>
        <v>111072</v>
      </c>
      <c r="I95" s="336"/>
      <c r="J95" s="214">
        <f>G95*H95</f>
        <v>0.47655184809392664</v>
      </c>
      <c r="K95" s="177"/>
      <c r="L95" s="450"/>
      <c r="M95" s="192">
        <v>2</v>
      </c>
      <c r="N95" s="239" t="s">
        <v>23</v>
      </c>
      <c r="O95" s="179" t="s">
        <v>162</v>
      </c>
      <c r="P95" s="174">
        <f>ROUND(1/234005*Q95,2)</f>
        <v>0.26</v>
      </c>
      <c r="Q95" s="216">
        <f>Q94</f>
        <v>61530</v>
      </c>
      <c r="R95" s="217">
        <v>1</v>
      </c>
      <c r="S95" s="223">
        <f t="shared" si="96"/>
        <v>4.2255810173898909E-6</v>
      </c>
      <c r="T95" s="336">
        <f t="shared" ref="T95:T96" si="99">AE95</f>
        <v>111072</v>
      </c>
      <c r="U95" s="336"/>
      <c r="V95" s="28">
        <f t="shared" ref="V95:V96" si="100">S95*T95</f>
        <v>0.46934373476352997</v>
      </c>
      <c r="W95" s="472"/>
      <c r="X95" s="192">
        <v>2</v>
      </c>
      <c r="Y95" s="239" t="s">
        <v>23</v>
      </c>
      <c r="Z95" s="179" t="s">
        <v>162</v>
      </c>
      <c r="AA95" s="312">
        <v>0</v>
      </c>
      <c r="AB95" s="216">
        <f>AB94</f>
        <v>14</v>
      </c>
      <c r="AC95" s="217">
        <v>1</v>
      </c>
      <c r="AD95" s="223">
        <f t="shared" si="97"/>
        <v>0</v>
      </c>
      <c r="AE95" s="336">
        <v>111072</v>
      </c>
      <c r="AF95" s="336"/>
      <c r="AG95" s="28">
        <f t="shared" ref="AG95:AG96" si="101">AD95*AE95</f>
        <v>0</v>
      </c>
      <c r="AH95" s="472"/>
      <c r="AI95" s="364">
        <f t="shared" ref="AI95:AI96" si="102">AA95+P95+D95</f>
        <v>1</v>
      </c>
      <c r="AJ95" s="129">
        <v>221</v>
      </c>
      <c r="AK95" s="371">
        <f t="shared" si="98"/>
        <v>111072</v>
      </c>
      <c r="AL95" s="346">
        <v>111072</v>
      </c>
    </row>
    <row r="96" spans="1:40" ht="39.75" thickBot="1">
      <c r="A96" s="193">
        <v>3</v>
      </c>
      <c r="B96" s="219" t="s">
        <v>24</v>
      </c>
      <c r="C96" s="179" t="s">
        <v>162</v>
      </c>
      <c r="D96" s="174">
        <f>ROUND(1/234005*E96,2)</f>
        <v>0.74</v>
      </c>
      <c r="E96" s="216">
        <f>E95</f>
        <v>172475</v>
      </c>
      <c r="F96" s="217">
        <v>1</v>
      </c>
      <c r="G96" s="223">
        <f t="shared" si="95"/>
        <v>4.2904768807073486E-6</v>
      </c>
      <c r="H96" s="300">
        <f>T96</f>
        <v>2000</v>
      </c>
      <c r="I96" s="336"/>
      <c r="J96" s="214">
        <f>G96*H96</f>
        <v>8.5809537614146975E-3</v>
      </c>
      <c r="K96" s="185"/>
      <c r="L96" s="450"/>
      <c r="M96" s="193">
        <v>3</v>
      </c>
      <c r="N96" s="239" t="s">
        <v>24</v>
      </c>
      <c r="O96" s="179" t="s">
        <v>162</v>
      </c>
      <c r="P96" s="174">
        <f>ROUND(1/234005*Q96,2)</f>
        <v>0.26</v>
      </c>
      <c r="Q96" s="216">
        <f>Q95</f>
        <v>61530</v>
      </c>
      <c r="R96" s="217">
        <v>1</v>
      </c>
      <c r="S96" s="223">
        <f t="shared" si="96"/>
        <v>4.2255810173898909E-6</v>
      </c>
      <c r="T96" s="336">
        <f t="shared" si="99"/>
        <v>2000</v>
      </c>
      <c r="U96" s="336"/>
      <c r="V96" s="28">
        <f t="shared" si="100"/>
        <v>8.4511620347797814E-3</v>
      </c>
      <c r="W96" s="472"/>
      <c r="X96" s="193">
        <v>3</v>
      </c>
      <c r="Y96" s="239" t="s">
        <v>24</v>
      </c>
      <c r="Z96" s="179" t="s">
        <v>162</v>
      </c>
      <c r="AA96" s="312">
        <v>0</v>
      </c>
      <c r="AB96" s="216">
        <f>AB95</f>
        <v>14</v>
      </c>
      <c r="AC96" s="217">
        <v>1</v>
      </c>
      <c r="AD96" s="223">
        <f t="shared" si="97"/>
        <v>0</v>
      </c>
      <c r="AE96" s="336">
        <v>2000</v>
      </c>
      <c r="AF96" s="336"/>
      <c r="AG96" s="28">
        <f t="shared" si="101"/>
        <v>0</v>
      </c>
      <c r="AH96" s="472"/>
      <c r="AI96" s="364">
        <f t="shared" si="102"/>
        <v>1</v>
      </c>
      <c r="AJ96" s="129">
        <v>221</v>
      </c>
      <c r="AK96" s="371">
        <f t="shared" si="98"/>
        <v>2000</v>
      </c>
      <c r="AL96" s="346">
        <v>2000</v>
      </c>
    </row>
    <row r="97" spans="1:39" ht="15.75" thickBot="1">
      <c r="A97" s="488" t="s">
        <v>26</v>
      </c>
      <c r="B97" s="489"/>
      <c r="C97" s="489"/>
      <c r="D97" s="489"/>
      <c r="E97" s="489"/>
      <c r="F97" s="489"/>
      <c r="G97" s="489"/>
      <c r="H97" s="489"/>
      <c r="I97" s="490"/>
      <c r="J97" s="222">
        <f>J96+J95+J94</f>
        <v>0.84762078288138776</v>
      </c>
      <c r="K97" s="186"/>
      <c r="L97" s="451"/>
      <c r="M97" s="464" t="s">
        <v>26</v>
      </c>
      <c r="N97" s="465"/>
      <c r="O97" s="465"/>
      <c r="P97" s="465"/>
      <c r="Q97" s="465"/>
      <c r="R97" s="465"/>
      <c r="S97" s="465"/>
      <c r="T97" s="465"/>
      <c r="U97" s="466"/>
      <c r="V97" s="30">
        <f>V94+V95+V96</f>
        <v>0.84028287782435629</v>
      </c>
      <c r="W97" s="473"/>
      <c r="X97" s="464" t="s">
        <v>26</v>
      </c>
      <c r="Y97" s="465"/>
      <c r="Z97" s="465"/>
      <c r="AA97" s="465"/>
      <c r="AB97" s="465"/>
      <c r="AC97" s="465"/>
      <c r="AD97" s="465"/>
      <c r="AE97" s="465"/>
      <c r="AF97" s="466"/>
      <c r="AG97" s="30">
        <f>AG94+AG95+AG96</f>
        <v>3029.4285714285711</v>
      </c>
      <c r="AH97" s="473"/>
      <c r="AI97" s="286"/>
      <c r="AJ97" s="129">
        <v>221</v>
      </c>
      <c r="AK97" s="365">
        <f>SUM(AK94:AK96)</f>
        <v>240308</v>
      </c>
      <c r="AL97" s="366">
        <f>AG161</f>
        <v>240308</v>
      </c>
      <c r="AM97" s="260"/>
    </row>
    <row r="98" spans="1:39" ht="15" customHeight="1">
      <c r="A98" s="433" t="s">
        <v>25</v>
      </c>
      <c r="B98" s="434"/>
      <c r="C98" s="434"/>
      <c r="D98" s="434"/>
      <c r="E98" s="434"/>
      <c r="F98" s="434"/>
      <c r="G98" s="434"/>
      <c r="H98" s="434"/>
      <c r="I98" s="434"/>
      <c r="J98" s="434"/>
      <c r="K98" s="434"/>
      <c r="L98" s="435"/>
      <c r="M98" s="433" t="s">
        <v>25</v>
      </c>
      <c r="N98" s="434"/>
      <c r="O98" s="434"/>
      <c r="P98" s="434"/>
      <c r="Q98" s="434"/>
      <c r="R98" s="434"/>
      <c r="S98" s="434"/>
      <c r="T98" s="434"/>
      <c r="U98" s="434"/>
      <c r="V98" s="434"/>
      <c r="W98" s="435"/>
      <c r="X98" s="433" t="s">
        <v>25</v>
      </c>
      <c r="Y98" s="434"/>
      <c r="Z98" s="434"/>
      <c r="AA98" s="434"/>
      <c r="AB98" s="434"/>
      <c r="AC98" s="434"/>
      <c r="AD98" s="434"/>
      <c r="AE98" s="434"/>
      <c r="AF98" s="434"/>
      <c r="AG98" s="434"/>
      <c r="AH98" s="469"/>
      <c r="AI98" s="285"/>
      <c r="AJ98" s="14">
        <f>+V97*Q94+J97*E96+AG97*AB96</f>
        <v>240308</v>
      </c>
      <c r="AL98" s="134">
        <f>AL97-AK97</f>
        <v>0</v>
      </c>
    </row>
    <row r="99" spans="1:39" ht="39" customHeight="1">
      <c r="A99" s="192">
        <v>1</v>
      </c>
      <c r="B99" s="219" t="s">
        <v>86</v>
      </c>
      <c r="C99" s="182" t="s">
        <v>28</v>
      </c>
      <c r="D99" s="312">
        <f>1/234019*E99</f>
        <v>0.73701280665245128</v>
      </c>
      <c r="E99" s="216">
        <f>E96</f>
        <v>172475</v>
      </c>
      <c r="F99" s="217">
        <v>1</v>
      </c>
      <c r="G99" s="223">
        <f t="shared" ref="G99:G101" si="103">D99*F99/E99</f>
        <v>4.2731573077399699E-6</v>
      </c>
      <c r="H99" s="300">
        <f>T99</f>
        <v>25000</v>
      </c>
      <c r="I99" s="338"/>
      <c r="J99" s="214">
        <f>G99*H99</f>
        <v>0.10682893269349925</v>
      </c>
      <c r="K99" s="176"/>
      <c r="L99" s="467" t="s">
        <v>165</v>
      </c>
      <c r="M99" s="192">
        <v>1</v>
      </c>
      <c r="N99" s="239" t="s">
        <v>86</v>
      </c>
      <c r="O99" s="182" t="s">
        <v>28</v>
      </c>
      <c r="P99" s="312">
        <f>1/234019*Q99</f>
        <v>0.26292736914524034</v>
      </c>
      <c r="Q99" s="216">
        <f>Q96</f>
        <v>61530</v>
      </c>
      <c r="R99" s="217">
        <v>1</v>
      </c>
      <c r="S99" s="223">
        <f t="shared" ref="S99:S101" si="104">P99*R99/Q99</f>
        <v>4.2731573077399699E-6</v>
      </c>
      <c r="T99" s="336">
        <f>AE99</f>
        <v>25000</v>
      </c>
      <c r="U99" s="349"/>
      <c r="V99" s="28">
        <f>S99*T99</f>
        <v>0.10682893269349925</v>
      </c>
      <c r="W99" s="467" t="s">
        <v>165</v>
      </c>
      <c r="X99" s="192">
        <v>1</v>
      </c>
      <c r="Y99" s="239" t="s">
        <v>86</v>
      </c>
      <c r="Z99" s="182" t="s">
        <v>28</v>
      </c>
      <c r="AA99" s="312">
        <f>1/234019*AB99</f>
        <v>5.9824202308359581E-5</v>
      </c>
      <c r="AB99" s="216">
        <f>AB96</f>
        <v>14</v>
      </c>
      <c r="AC99" s="217">
        <v>1</v>
      </c>
      <c r="AD99" s="223">
        <f t="shared" ref="AD99:AD101" si="105">AA99*AC99/AB99</f>
        <v>4.2731573077399699E-6</v>
      </c>
      <c r="AE99" s="336">
        <v>25000</v>
      </c>
      <c r="AF99" s="349"/>
      <c r="AG99" s="28">
        <f>AD99*AE99</f>
        <v>0.10682893269349925</v>
      </c>
      <c r="AH99" s="471" t="s">
        <v>165</v>
      </c>
      <c r="AI99" s="364">
        <f>AA99+P99+D99</f>
        <v>1</v>
      </c>
      <c r="AJ99" s="129">
        <v>222</v>
      </c>
      <c r="AK99" s="353">
        <f>V99*Q99+J99*E99+AG99*AB99</f>
        <v>25000</v>
      </c>
      <c r="AL99" s="346">
        <v>25000</v>
      </c>
    </row>
    <row r="100" spans="1:39" ht="39" customHeight="1">
      <c r="A100" s="194">
        <v>2</v>
      </c>
      <c r="B100" s="220" t="s">
        <v>187</v>
      </c>
      <c r="C100" s="182" t="s">
        <v>28</v>
      </c>
      <c r="D100" s="312">
        <f>1/234019*E100</f>
        <v>0.73701280665245128</v>
      </c>
      <c r="E100" s="216">
        <f>E99</f>
        <v>172475</v>
      </c>
      <c r="F100" s="224">
        <v>1</v>
      </c>
      <c r="G100" s="223">
        <f t="shared" si="103"/>
        <v>4.2731573077399699E-6</v>
      </c>
      <c r="H100" s="300">
        <f t="shared" ref="H100:H101" si="106">T100</f>
        <v>419558</v>
      </c>
      <c r="I100" s="351"/>
      <c r="J100" s="214">
        <f>G100*H100</f>
        <v>1.7928373337207664</v>
      </c>
      <c r="K100" s="177"/>
      <c r="L100" s="450"/>
      <c r="M100" s="194">
        <v>2</v>
      </c>
      <c r="N100" s="240" t="s">
        <v>187</v>
      </c>
      <c r="O100" s="182" t="s">
        <v>28</v>
      </c>
      <c r="P100" s="312">
        <f>1/234019*Q100</f>
        <v>0.26292736914524034</v>
      </c>
      <c r="Q100" s="216">
        <f>Q99</f>
        <v>61530</v>
      </c>
      <c r="R100" s="224">
        <v>1</v>
      </c>
      <c r="S100" s="223">
        <f t="shared" si="104"/>
        <v>4.2731573077399699E-6</v>
      </c>
      <c r="T100" s="336">
        <f t="shared" ref="T100:T101" si="107">AE100</f>
        <v>419558</v>
      </c>
      <c r="U100" s="350"/>
      <c r="V100" s="28">
        <f>S100*T100</f>
        <v>1.7928373337207664</v>
      </c>
      <c r="W100" s="450"/>
      <c r="X100" s="194">
        <v>2</v>
      </c>
      <c r="Y100" s="240" t="s">
        <v>187</v>
      </c>
      <c r="Z100" s="182" t="s">
        <v>28</v>
      </c>
      <c r="AA100" s="312">
        <f>1/234019*AB100</f>
        <v>5.9824202308359581E-5</v>
      </c>
      <c r="AB100" s="216">
        <f>AB99</f>
        <v>14</v>
      </c>
      <c r="AC100" s="224">
        <v>1</v>
      </c>
      <c r="AD100" s="223">
        <f t="shared" si="105"/>
        <v>4.2731573077399699E-6</v>
      </c>
      <c r="AE100" s="337">
        <v>419558</v>
      </c>
      <c r="AF100" s="350"/>
      <c r="AG100" s="28">
        <f>AD100*AE100</f>
        <v>1.7928373337207664</v>
      </c>
      <c r="AH100" s="472"/>
      <c r="AI100" s="364">
        <f t="shared" ref="AI100:AI101" si="108">AA100+P100+D100</f>
        <v>1</v>
      </c>
      <c r="AJ100" s="129">
        <v>222</v>
      </c>
      <c r="AK100" s="353">
        <f t="shared" ref="AK100:AK101" si="109">V100*Q100+J100*E100+AG100*AB100</f>
        <v>419558.00000000006</v>
      </c>
      <c r="AL100" s="346">
        <v>419558</v>
      </c>
    </row>
    <row r="101" spans="1:39" ht="39.75" thickBot="1">
      <c r="A101" s="192">
        <v>2</v>
      </c>
      <c r="B101" s="219" t="s">
        <v>87</v>
      </c>
      <c r="C101" s="182" t="s">
        <v>132</v>
      </c>
      <c r="D101" s="312">
        <f>1/234019*E101</f>
        <v>0.73701280665245128</v>
      </c>
      <c r="E101" s="216">
        <f>E100</f>
        <v>172475</v>
      </c>
      <c r="F101" s="217">
        <v>1</v>
      </c>
      <c r="G101" s="223">
        <f t="shared" si="103"/>
        <v>4.2731573077399699E-6</v>
      </c>
      <c r="H101" s="300">
        <f t="shared" si="106"/>
        <v>0</v>
      </c>
      <c r="I101" s="338"/>
      <c r="J101" s="214">
        <f>G101*H101</f>
        <v>0</v>
      </c>
      <c r="K101" s="185"/>
      <c r="L101" s="450"/>
      <c r="M101" s="192">
        <v>3</v>
      </c>
      <c r="N101" s="239" t="s">
        <v>87</v>
      </c>
      <c r="O101" s="182" t="s">
        <v>132</v>
      </c>
      <c r="P101" s="312">
        <f>1/234019*Q101</f>
        <v>0.26292736914524034</v>
      </c>
      <c r="Q101" s="216">
        <f>Q100</f>
        <v>61530</v>
      </c>
      <c r="R101" s="217">
        <v>1</v>
      </c>
      <c r="S101" s="223">
        <f t="shared" si="104"/>
        <v>4.2731573077399699E-6</v>
      </c>
      <c r="T101" s="336">
        <f t="shared" si="107"/>
        <v>0</v>
      </c>
      <c r="U101" s="349"/>
      <c r="V101" s="28">
        <f>S101*T101</f>
        <v>0</v>
      </c>
      <c r="W101" s="450"/>
      <c r="X101" s="192">
        <v>3</v>
      </c>
      <c r="Y101" s="239" t="s">
        <v>87</v>
      </c>
      <c r="Z101" s="182" t="s">
        <v>132</v>
      </c>
      <c r="AA101" s="312">
        <f>1/234019*AB101</f>
        <v>5.9824202308359581E-5</v>
      </c>
      <c r="AB101" s="216">
        <f>AB100</f>
        <v>14</v>
      </c>
      <c r="AC101" s="217">
        <v>1</v>
      </c>
      <c r="AD101" s="223">
        <f t="shared" si="105"/>
        <v>4.2731573077399699E-6</v>
      </c>
      <c r="AE101" s="338">
        <v>0</v>
      </c>
      <c r="AF101" s="349"/>
      <c r="AG101" s="28">
        <f>AD101*AE101</f>
        <v>0</v>
      </c>
      <c r="AH101" s="472"/>
      <c r="AI101" s="364">
        <f t="shared" si="108"/>
        <v>1</v>
      </c>
      <c r="AJ101" s="129">
        <v>222</v>
      </c>
      <c r="AK101" s="353">
        <f t="shared" si="109"/>
        <v>0</v>
      </c>
      <c r="AL101" s="346">
        <v>0</v>
      </c>
      <c r="AM101" s="366">
        <f>AG162</f>
        <v>444558</v>
      </c>
    </row>
    <row r="102" spans="1:39" ht="15.75" thickBot="1">
      <c r="A102" s="488" t="s">
        <v>26</v>
      </c>
      <c r="B102" s="489"/>
      <c r="C102" s="489"/>
      <c r="D102" s="489"/>
      <c r="E102" s="489"/>
      <c r="F102" s="489"/>
      <c r="G102" s="489"/>
      <c r="H102" s="489"/>
      <c r="I102" s="490"/>
      <c r="J102" s="222">
        <f>SUM(J99:J101)</f>
        <v>1.8996662664142656</v>
      </c>
      <c r="K102" s="186"/>
      <c r="L102" s="451"/>
      <c r="M102" s="464" t="s">
        <v>26</v>
      </c>
      <c r="N102" s="465"/>
      <c r="O102" s="465"/>
      <c r="P102" s="465"/>
      <c r="Q102" s="465"/>
      <c r="R102" s="465"/>
      <c r="S102" s="465"/>
      <c r="T102" s="465"/>
      <c r="U102" s="466"/>
      <c r="V102" s="30">
        <f>SUM(V99:V101)</f>
        <v>1.8996662664142656</v>
      </c>
      <c r="W102" s="451"/>
      <c r="X102" s="464" t="s">
        <v>26</v>
      </c>
      <c r="Y102" s="465"/>
      <c r="Z102" s="465"/>
      <c r="AA102" s="465"/>
      <c r="AB102" s="465"/>
      <c r="AC102" s="465"/>
      <c r="AD102" s="465"/>
      <c r="AE102" s="465"/>
      <c r="AF102" s="466"/>
      <c r="AG102" s="30">
        <f>SUM(AG99:AG101)</f>
        <v>1.8996662664142656</v>
      </c>
      <c r="AH102" s="451"/>
      <c r="AI102" s="286"/>
      <c r="AJ102" s="134">
        <f>V102*Q101+J102*E101+AG102*AB101</f>
        <v>444558</v>
      </c>
      <c r="AK102" s="325">
        <f>SUM(AK99:AK101)</f>
        <v>444558.00000000006</v>
      </c>
      <c r="AL102" s="325">
        <v>222</v>
      </c>
      <c r="AM102" s="134">
        <f>AM101-AK102</f>
        <v>0</v>
      </c>
    </row>
    <row r="103" spans="1:39" ht="15" customHeight="1">
      <c r="A103" s="446" t="s">
        <v>59</v>
      </c>
      <c r="B103" s="447"/>
      <c r="C103" s="447"/>
      <c r="D103" s="447"/>
      <c r="E103" s="447"/>
      <c r="F103" s="447"/>
      <c r="G103" s="447"/>
      <c r="H103" s="447"/>
      <c r="I103" s="447"/>
      <c r="J103" s="447"/>
      <c r="K103" s="447"/>
      <c r="L103" s="448"/>
      <c r="M103" s="446" t="s">
        <v>59</v>
      </c>
      <c r="N103" s="447"/>
      <c r="O103" s="447"/>
      <c r="P103" s="447"/>
      <c r="Q103" s="447"/>
      <c r="R103" s="447"/>
      <c r="S103" s="447"/>
      <c r="T103" s="447"/>
      <c r="U103" s="447"/>
      <c r="V103" s="447"/>
      <c r="W103" s="448"/>
      <c r="X103" s="446" t="s">
        <v>59</v>
      </c>
      <c r="Y103" s="447"/>
      <c r="Z103" s="447"/>
      <c r="AA103" s="447"/>
      <c r="AB103" s="447"/>
      <c r="AC103" s="447"/>
      <c r="AD103" s="447"/>
      <c r="AE103" s="447"/>
      <c r="AF103" s="447"/>
      <c r="AG103" s="447"/>
      <c r="AH103" s="448"/>
      <c r="AI103" s="285"/>
      <c r="AJ103" s="124"/>
      <c r="AM103" s="134"/>
    </row>
    <row r="104" spans="1:39" ht="35.25" customHeight="1">
      <c r="A104" s="192">
        <v>1</v>
      </c>
      <c r="B104" s="225" t="s">
        <v>46</v>
      </c>
      <c r="C104" s="182" t="s">
        <v>29</v>
      </c>
      <c r="D104" s="312">
        <f t="shared" ref="D104:D114" si="110">AI104/234019*E104</f>
        <v>0.73701280665245128</v>
      </c>
      <c r="E104" s="216">
        <f>E101</f>
        <v>172475</v>
      </c>
      <c r="F104" s="217">
        <v>1</v>
      </c>
      <c r="G104" s="223">
        <f>D104*F104/E104</f>
        <v>4.2731573077399699E-6</v>
      </c>
      <c r="H104" s="339">
        <f>T104</f>
        <v>703080.13120004022</v>
      </c>
      <c r="I104" s="338"/>
      <c r="J104" s="214">
        <f t="shared" ref="J104:J113" si="111">G104*H104</f>
        <v>3.0043720005642287</v>
      </c>
      <c r="K104" s="177"/>
      <c r="L104" s="495" t="s">
        <v>166</v>
      </c>
      <c r="M104" s="192">
        <v>1</v>
      </c>
      <c r="N104" s="241" t="s">
        <v>46</v>
      </c>
      <c r="O104" s="182" t="s">
        <v>29</v>
      </c>
      <c r="P104" s="312">
        <f t="shared" ref="P104:P114" si="112">AI104/234019*Q104</f>
        <v>0.26292736914524034</v>
      </c>
      <c r="Q104" s="216">
        <f>Q101</f>
        <v>61530</v>
      </c>
      <c r="R104" s="217">
        <v>1</v>
      </c>
      <c r="S104" s="223">
        <f>P104*R104/Q104</f>
        <v>4.2731573077399699E-6</v>
      </c>
      <c r="T104" s="339">
        <f>AE104</f>
        <v>703080.13120004022</v>
      </c>
      <c r="U104" s="338"/>
      <c r="V104" s="28">
        <f t="shared" ref="V104:V113" si="113">S104*T104</f>
        <v>3.0043720005642287</v>
      </c>
      <c r="W104" s="458" t="s">
        <v>166</v>
      </c>
      <c r="X104" s="192">
        <v>1</v>
      </c>
      <c r="Y104" s="241" t="s">
        <v>46</v>
      </c>
      <c r="Z104" s="182" t="s">
        <v>29</v>
      </c>
      <c r="AA104" s="312">
        <f t="shared" ref="AA104:AA114" si="114">AI104/234019*AB104</f>
        <v>5.9824202308359581E-5</v>
      </c>
      <c r="AB104" s="216">
        <f>AB101</f>
        <v>14</v>
      </c>
      <c r="AC104" s="217">
        <v>1</v>
      </c>
      <c r="AD104" s="223">
        <f>AA104*AC104/AB104</f>
        <v>4.2731573077399699E-6</v>
      </c>
      <c r="AE104" s="339">
        <f>45000.00839734*1.302*12</f>
        <v>703080.13120004022</v>
      </c>
      <c r="AF104" s="338"/>
      <c r="AG104" s="28">
        <f t="shared" ref="AG104:AG114" si="115">AD104*AE104</f>
        <v>3.0043720005642287</v>
      </c>
      <c r="AH104" s="458" t="s">
        <v>166</v>
      </c>
      <c r="AI104" s="277">
        <v>1</v>
      </c>
      <c r="AJ104" s="124">
        <f>P104+D104+AA104</f>
        <v>0.99999999999999989</v>
      </c>
      <c r="AK104" s="378">
        <f>V104*Q104+J104*E104+AG104*AB104</f>
        <v>703080.13120004022</v>
      </c>
      <c r="AL104" s="134">
        <f>AK104/1.302/12</f>
        <v>45000.008397339996</v>
      </c>
    </row>
    <row r="105" spans="1:39" ht="26.25" customHeight="1">
      <c r="A105" s="192">
        <v>2</v>
      </c>
      <c r="B105" s="225" t="s">
        <v>180</v>
      </c>
      <c r="C105" s="182" t="s">
        <v>29</v>
      </c>
      <c r="D105" s="312">
        <f t="shared" si="110"/>
        <v>1.4740256133049026</v>
      </c>
      <c r="E105" s="216">
        <f>E104</f>
        <v>172475</v>
      </c>
      <c r="F105" s="217">
        <v>1</v>
      </c>
      <c r="G105" s="223">
        <f t="shared" ref="G105:G113" si="116">D105*F105/E105</f>
        <v>8.5463146154799399E-6</v>
      </c>
      <c r="H105" s="339">
        <f t="shared" ref="H105:H114" si="117">T105</f>
        <v>546840</v>
      </c>
      <c r="I105" s="338"/>
      <c r="J105" s="214">
        <f t="shared" si="111"/>
        <v>4.6734666843290507</v>
      </c>
      <c r="K105" s="177"/>
      <c r="L105" s="495"/>
      <c r="M105" s="192">
        <v>2</v>
      </c>
      <c r="N105" s="241" t="s">
        <v>200</v>
      </c>
      <c r="O105" s="182" t="s">
        <v>29</v>
      </c>
      <c r="P105" s="312">
        <f t="shared" si="112"/>
        <v>0.52585473829048068</v>
      </c>
      <c r="Q105" s="216">
        <f>Q104</f>
        <v>61530</v>
      </c>
      <c r="R105" s="217">
        <v>1</v>
      </c>
      <c r="S105" s="223">
        <f t="shared" ref="S105:S113" si="118">P105*R105/Q105</f>
        <v>8.5463146154799399E-6</v>
      </c>
      <c r="T105" s="339">
        <f t="shared" ref="T105:T114" si="119">AE105</f>
        <v>546840</v>
      </c>
      <c r="U105" s="338"/>
      <c r="V105" s="28">
        <f t="shared" si="113"/>
        <v>4.6734666843290507</v>
      </c>
      <c r="W105" s="458"/>
      <c r="X105" s="192">
        <v>2</v>
      </c>
      <c r="Y105" s="241" t="s">
        <v>200</v>
      </c>
      <c r="Z105" s="182" t="s">
        <v>29</v>
      </c>
      <c r="AA105" s="312">
        <f t="shared" si="114"/>
        <v>1.1964840461671916E-4</v>
      </c>
      <c r="AB105" s="216">
        <f>AB104</f>
        <v>14</v>
      </c>
      <c r="AC105" s="217">
        <v>1</v>
      </c>
      <c r="AD105" s="223">
        <f t="shared" ref="AD105:AD114" si="120">AA105*AC105/AB105</f>
        <v>8.5463146154799399E-6</v>
      </c>
      <c r="AE105" s="339">
        <f>70000/2*1.302*12</f>
        <v>546840</v>
      </c>
      <c r="AF105" s="338"/>
      <c r="AG105" s="28">
        <f t="shared" si="115"/>
        <v>4.6734666843290507</v>
      </c>
      <c r="AH105" s="458"/>
      <c r="AI105" s="277">
        <v>2</v>
      </c>
      <c r="AJ105" s="124">
        <f t="shared" ref="AJ105:AJ114" si="121">P105+D105+AA105</f>
        <v>1.9999999999999998</v>
      </c>
      <c r="AK105" s="378">
        <f t="shared" ref="AK105:AK114" si="122">V105*Q105+J105*E105+AG105*AB105</f>
        <v>1093680</v>
      </c>
      <c r="AL105" s="134">
        <f>AK105/1.302/12/2</f>
        <v>35000</v>
      </c>
    </row>
    <row r="106" spans="1:39" ht="26.25">
      <c r="A106" s="192">
        <v>3</v>
      </c>
      <c r="B106" s="225" t="s">
        <v>179</v>
      </c>
      <c r="C106" s="182" t="s">
        <v>29</v>
      </c>
      <c r="D106" s="312">
        <f t="shared" si="110"/>
        <v>1.4740256133049026</v>
      </c>
      <c r="E106" s="216">
        <f t="shared" ref="E106:E113" si="123">E105</f>
        <v>172475</v>
      </c>
      <c r="F106" s="217">
        <v>1</v>
      </c>
      <c r="G106" s="223">
        <f t="shared" ref="G106" si="124">D106*F106/E106</f>
        <v>8.5463146154799399E-6</v>
      </c>
      <c r="H106" s="339">
        <f t="shared" si="117"/>
        <v>546840</v>
      </c>
      <c r="I106" s="338"/>
      <c r="J106" s="214">
        <f t="shared" ref="J106" si="125">G106*H106</f>
        <v>4.6734666843290507</v>
      </c>
      <c r="K106" s="177"/>
      <c r="L106" s="495"/>
      <c r="M106" s="192">
        <v>3</v>
      </c>
      <c r="N106" s="241" t="s">
        <v>179</v>
      </c>
      <c r="O106" s="182" t="s">
        <v>29</v>
      </c>
      <c r="P106" s="312">
        <f t="shared" si="112"/>
        <v>0.52585473829048068</v>
      </c>
      <c r="Q106" s="216">
        <f t="shared" ref="Q106:Q113" si="126">Q105</f>
        <v>61530</v>
      </c>
      <c r="R106" s="217">
        <v>1</v>
      </c>
      <c r="S106" s="223">
        <f t="shared" ref="S106" si="127">P106*R106/Q106</f>
        <v>8.5463146154799399E-6</v>
      </c>
      <c r="T106" s="339">
        <f t="shared" si="119"/>
        <v>546840</v>
      </c>
      <c r="U106" s="338"/>
      <c r="V106" s="28">
        <f t="shared" ref="V106" si="128">S106*T106</f>
        <v>4.6734666843290507</v>
      </c>
      <c r="W106" s="458"/>
      <c r="X106" s="192">
        <v>3</v>
      </c>
      <c r="Y106" s="241" t="s">
        <v>179</v>
      </c>
      <c r="Z106" s="182" t="s">
        <v>29</v>
      </c>
      <c r="AA106" s="312">
        <f t="shared" si="114"/>
        <v>1.1964840461671916E-4</v>
      </c>
      <c r="AB106" s="216">
        <f t="shared" ref="AB106:AB114" si="129">AB105</f>
        <v>14</v>
      </c>
      <c r="AC106" s="217">
        <v>1</v>
      </c>
      <c r="AD106" s="223">
        <f t="shared" si="120"/>
        <v>8.5463146154799399E-6</v>
      </c>
      <c r="AE106" s="339">
        <f>70000/2*1.302*12</f>
        <v>546840</v>
      </c>
      <c r="AF106" s="338"/>
      <c r="AG106" s="28">
        <f t="shared" si="115"/>
        <v>4.6734666843290507</v>
      </c>
      <c r="AH106" s="458"/>
      <c r="AI106" s="277">
        <v>2</v>
      </c>
      <c r="AJ106" s="124">
        <f t="shared" si="121"/>
        <v>1.9999999999999998</v>
      </c>
      <c r="AK106" s="378">
        <f t="shared" si="122"/>
        <v>1093680</v>
      </c>
      <c r="AL106" s="134">
        <f>AK106/1.302/12/2</f>
        <v>35000</v>
      </c>
    </row>
    <row r="107" spans="1:39" ht="26.25">
      <c r="A107" s="192">
        <v>4</v>
      </c>
      <c r="B107" s="225" t="s">
        <v>107</v>
      </c>
      <c r="C107" s="182" t="s">
        <v>29</v>
      </c>
      <c r="D107" s="312">
        <f t="shared" si="110"/>
        <v>0.73701280665245128</v>
      </c>
      <c r="E107" s="216">
        <f t="shared" si="123"/>
        <v>172475</v>
      </c>
      <c r="F107" s="217">
        <v>1</v>
      </c>
      <c r="G107" s="223">
        <f t="shared" si="116"/>
        <v>4.2731573077399699E-6</v>
      </c>
      <c r="H107" s="339">
        <f t="shared" si="117"/>
        <v>437472</v>
      </c>
      <c r="I107" s="338"/>
      <c r="J107" s="214">
        <f t="shared" si="111"/>
        <v>1.86938667373162</v>
      </c>
      <c r="K107" s="177"/>
      <c r="L107" s="495"/>
      <c r="M107" s="192">
        <v>4</v>
      </c>
      <c r="N107" s="241" t="s">
        <v>107</v>
      </c>
      <c r="O107" s="182" t="s">
        <v>29</v>
      </c>
      <c r="P107" s="312">
        <f t="shared" si="112"/>
        <v>0.26292736914524034</v>
      </c>
      <c r="Q107" s="216">
        <f t="shared" si="126"/>
        <v>61530</v>
      </c>
      <c r="R107" s="217">
        <v>1</v>
      </c>
      <c r="S107" s="223">
        <f t="shared" si="118"/>
        <v>4.2731573077399699E-6</v>
      </c>
      <c r="T107" s="339">
        <f t="shared" si="119"/>
        <v>437472</v>
      </c>
      <c r="U107" s="338"/>
      <c r="V107" s="28">
        <f t="shared" si="113"/>
        <v>1.86938667373162</v>
      </c>
      <c r="W107" s="458"/>
      <c r="X107" s="192">
        <v>4</v>
      </c>
      <c r="Y107" s="241" t="s">
        <v>107</v>
      </c>
      <c r="Z107" s="182" t="s">
        <v>29</v>
      </c>
      <c r="AA107" s="312">
        <f t="shared" si="114"/>
        <v>5.9824202308359581E-5</v>
      </c>
      <c r="AB107" s="216">
        <f t="shared" si="129"/>
        <v>14</v>
      </c>
      <c r="AC107" s="217">
        <v>1</v>
      </c>
      <c r="AD107" s="223">
        <f t="shared" si="120"/>
        <v>4.2731573077399699E-6</v>
      </c>
      <c r="AE107" s="339">
        <f>28000*1.302*12</f>
        <v>437472</v>
      </c>
      <c r="AF107" s="338"/>
      <c r="AG107" s="28">
        <f t="shared" si="115"/>
        <v>1.86938667373162</v>
      </c>
      <c r="AH107" s="458"/>
      <c r="AI107" s="277">
        <v>1</v>
      </c>
      <c r="AJ107" s="124">
        <f t="shared" si="121"/>
        <v>0.99999999999999989</v>
      </c>
      <c r="AK107" s="378">
        <f t="shared" si="122"/>
        <v>437471.99999999994</v>
      </c>
      <c r="AL107" s="134">
        <f t="shared" ref="AL107:AL114" si="130">AK107/1.302/12</f>
        <v>27999.999999999996</v>
      </c>
    </row>
    <row r="108" spans="1:39" ht="26.25">
      <c r="A108" s="192">
        <v>5</v>
      </c>
      <c r="B108" s="225" t="s">
        <v>126</v>
      </c>
      <c r="C108" s="182" t="s">
        <v>29</v>
      </c>
      <c r="D108" s="312">
        <f t="shared" si="110"/>
        <v>0.73701280665245128</v>
      </c>
      <c r="E108" s="216">
        <f t="shared" si="123"/>
        <v>172475</v>
      </c>
      <c r="F108" s="217">
        <v>1</v>
      </c>
      <c r="G108" s="223">
        <f t="shared" ref="G108" si="131">D108*F108/E108</f>
        <v>4.2731573077399699E-6</v>
      </c>
      <c r="H108" s="339">
        <f t="shared" si="117"/>
        <v>437472</v>
      </c>
      <c r="I108" s="338"/>
      <c r="J108" s="214">
        <f t="shared" ref="J108" si="132">G108*H108</f>
        <v>1.86938667373162</v>
      </c>
      <c r="K108" s="177"/>
      <c r="L108" s="495"/>
      <c r="M108" s="192">
        <v>5</v>
      </c>
      <c r="N108" s="241" t="s">
        <v>126</v>
      </c>
      <c r="O108" s="182" t="s">
        <v>29</v>
      </c>
      <c r="P108" s="312">
        <f t="shared" si="112"/>
        <v>0.26292736914524034</v>
      </c>
      <c r="Q108" s="216">
        <f t="shared" si="126"/>
        <v>61530</v>
      </c>
      <c r="R108" s="217">
        <v>1</v>
      </c>
      <c r="S108" s="223">
        <f t="shared" si="118"/>
        <v>4.2731573077399699E-6</v>
      </c>
      <c r="T108" s="339">
        <f t="shared" si="119"/>
        <v>437472</v>
      </c>
      <c r="U108" s="338"/>
      <c r="V108" s="28">
        <f t="shared" si="113"/>
        <v>1.86938667373162</v>
      </c>
      <c r="W108" s="458"/>
      <c r="X108" s="192">
        <v>5</v>
      </c>
      <c r="Y108" s="241" t="s">
        <v>126</v>
      </c>
      <c r="Z108" s="182" t="s">
        <v>29</v>
      </c>
      <c r="AA108" s="312">
        <f t="shared" si="114"/>
        <v>5.9824202308359581E-5</v>
      </c>
      <c r="AB108" s="216">
        <f t="shared" si="129"/>
        <v>14</v>
      </c>
      <c r="AC108" s="217">
        <v>1</v>
      </c>
      <c r="AD108" s="223">
        <f t="shared" si="120"/>
        <v>4.2731573077399699E-6</v>
      </c>
      <c r="AE108" s="339">
        <f>28000*1.302*12</f>
        <v>437472</v>
      </c>
      <c r="AF108" s="338"/>
      <c r="AG108" s="28">
        <f t="shared" si="115"/>
        <v>1.86938667373162</v>
      </c>
      <c r="AH108" s="458"/>
      <c r="AI108" s="277">
        <v>1</v>
      </c>
      <c r="AJ108" s="124">
        <f t="shared" si="121"/>
        <v>0.99999999999999989</v>
      </c>
      <c r="AK108" s="378">
        <f t="shared" si="122"/>
        <v>437471.99999999994</v>
      </c>
      <c r="AL108" s="134">
        <f t="shared" si="130"/>
        <v>27999.999999999996</v>
      </c>
    </row>
    <row r="109" spans="1:39" ht="26.25">
      <c r="A109" s="192">
        <v>6</v>
      </c>
      <c r="B109" s="225" t="s">
        <v>48</v>
      </c>
      <c r="C109" s="182" t="s">
        <v>29</v>
      </c>
      <c r="D109" s="312">
        <f t="shared" si="110"/>
        <v>4.4220768399147072</v>
      </c>
      <c r="E109" s="216">
        <f t="shared" si="123"/>
        <v>172475</v>
      </c>
      <c r="F109" s="217">
        <v>1</v>
      </c>
      <c r="G109" s="223">
        <f t="shared" si="116"/>
        <v>2.5638943846439815E-5</v>
      </c>
      <c r="H109" s="339">
        <f t="shared" si="117"/>
        <v>437472</v>
      </c>
      <c r="I109" s="338"/>
      <c r="J109" s="214">
        <f t="shared" si="111"/>
        <v>11.216320042389718</v>
      </c>
      <c r="K109" s="177"/>
      <c r="L109" s="495"/>
      <c r="M109" s="192">
        <v>6</v>
      </c>
      <c r="N109" s="241" t="s">
        <v>48</v>
      </c>
      <c r="O109" s="182" t="s">
        <v>29</v>
      </c>
      <c r="P109" s="312">
        <f t="shared" si="112"/>
        <v>1.5775642148714419</v>
      </c>
      <c r="Q109" s="216">
        <f t="shared" si="126"/>
        <v>61530</v>
      </c>
      <c r="R109" s="217">
        <v>1</v>
      </c>
      <c r="S109" s="223">
        <f t="shared" si="118"/>
        <v>2.5638943846439818E-5</v>
      </c>
      <c r="T109" s="339">
        <f t="shared" si="119"/>
        <v>437472</v>
      </c>
      <c r="U109" s="338"/>
      <c r="V109" s="28">
        <f t="shared" si="113"/>
        <v>11.21632004238972</v>
      </c>
      <c r="W109" s="458"/>
      <c r="X109" s="192">
        <v>6</v>
      </c>
      <c r="Y109" s="241" t="s">
        <v>48</v>
      </c>
      <c r="Z109" s="182" t="s">
        <v>29</v>
      </c>
      <c r="AA109" s="312">
        <f t="shared" si="114"/>
        <v>3.5894521385015747E-4</v>
      </c>
      <c r="AB109" s="216">
        <f t="shared" si="129"/>
        <v>14</v>
      </c>
      <c r="AC109" s="217">
        <v>1</v>
      </c>
      <c r="AD109" s="223">
        <f t="shared" si="120"/>
        <v>2.5638943846439818E-5</v>
      </c>
      <c r="AE109" s="339">
        <f>168000/6*1.302*12</f>
        <v>437472</v>
      </c>
      <c r="AF109" s="338"/>
      <c r="AG109" s="28">
        <f t="shared" si="115"/>
        <v>11.21632004238972</v>
      </c>
      <c r="AH109" s="458"/>
      <c r="AI109" s="277">
        <v>6</v>
      </c>
      <c r="AJ109" s="124">
        <f t="shared" si="121"/>
        <v>5.9999999999999991</v>
      </c>
      <c r="AK109" s="378">
        <f t="shared" si="122"/>
        <v>2624831.9999999995</v>
      </c>
      <c r="AL109" s="134">
        <f>AK109/1.302/12/6</f>
        <v>27999.999999999996</v>
      </c>
    </row>
    <row r="110" spans="1:39" ht="26.25">
      <c r="A110" s="192">
        <v>7</v>
      </c>
      <c r="B110" s="225" t="s">
        <v>89</v>
      </c>
      <c r="C110" s="182" t="s">
        <v>29</v>
      </c>
      <c r="D110" s="312">
        <f t="shared" si="110"/>
        <v>0.73701280665245128</v>
      </c>
      <c r="E110" s="216">
        <f t="shared" si="123"/>
        <v>172475</v>
      </c>
      <c r="F110" s="217">
        <v>1</v>
      </c>
      <c r="G110" s="223">
        <f t="shared" si="116"/>
        <v>4.2731573077399699E-6</v>
      </c>
      <c r="H110" s="339">
        <f t="shared" si="117"/>
        <v>437472</v>
      </c>
      <c r="I110" s="338"/>
      <c r="J110" s="214">
        <f t="shared" si="111"/>
        <v>1.86938667373162</v>
      </c>
      <c r="K110" s="177"/>
      <c r="L110" s="495"/>
      <c r="M110" s="192">
        <v>7</v>
      </c>
      <c r="N110" s="241" t="s">
        <v>89</v>
      </c>
      <c r="O110" s="182" t="s">
        <v>29</v>
      </c>
      <c r="P110" s="312">
        <f t="shared" si="112"/>
        <v>0.26292736914524034</v>
      </c>
      <c r="Q110" s="216">
        <f t="shared" si="126"/>
        <v>61530</v>
      </c>
      <c r="R110" s="217">
        <v>1</v>
      </c>
      <c r="S110" s="223">
        <f t="shared" si="118"/>
        <v>4.2731573077399699E-6</v>
      </c>
      <c r="T110" s="339">
        <f t="shared" si="119"/>
        <v>437472</v>
      </c>
      <c r="U110" s="338"/>
      <c r="V110" s="28">
        <f t="shared" si="113"/>
        <v>1.86938667373162</v>
      </c>
      <c r="W110" s="458"/>
      <c r="X110" s="192">
        <v>7</v>
      </c>
      <c r="Y110" s="241" t="s">
        <v>89</v>
      </c>
      <c r="Z110" s="182" t="s">
        <v>29</v>
      </c>
      <c r="AA110" s="312">
        <f t="shared" si="114"/>
        <v>5.9824202308359581E-5</v>
      </c>
      <c r="AB110" s="216">
        <f t="shared" si="129"/>
        <v>14</v>
      </c>
      <c r="AC110" s="217">
        <v>1</v>
      </c>
      <c r="AD110" s="223">
        <f t="shared" si="120"/>
        <v>4.2731573077399699E-6</v>
      </c>
      <c r="AE110" s="339">
        <f>28000*1.302*12</f>
        <v>437472</v>
      </c>
      <c r="AF110" s="338"/>
      <c r="AG110" s="28">
        <f t="shared" si="115"/>
        <v>1.86938667373162</v>
      </c>
      <c r="AH110" s="458"/>
      <c r="AI110" s="277">
        <v>1</v>
      </c>
      <c r="AJ110" s="124">
        <f t="shared" si="121"/>
        <v>0.99999999999999989</v>
      </c>
      <c r="AK110" s="378">
        <f t="shared" si="122"/>
        <v>437471.99999999994</v>
      </c>
      <c r="AL110" s="134">
        <f t="shared" si="130"/>
        <v>27999.999999999996</v>
      </c>
    </row>
    <row r="111" spans="1:39" ht="26.25">
      <c r="A111" s="192">
        <v>8</v>
      </c>
      <c r="B111" s="226" t="s">
        <v>90</v>
      </c>
      <c r="C111" s="182" t="s">
        <v>29</v>
      </c>
      <c r="D111" s="312">
        <f t="shared" si="110"/>
        <v>11.055192099786769</v>
      </c>
      <c r="E111" s="216">
        <f t="shared" si="123"/>
        <v>172475</v>
      </c>
      <c r="F111" s="217">
        <v>1</v>
      </c>
      <c r="G111" s="223">
        <f t="shared" si="116"/>
        <v>6.4097359616099547E-5</v>
      </c>
      <c r="H111" s="339">
        <f t="shared" si="117"/>
        <v>437472</v>
      </c>
      <c r="I111" s="338"/>
      <c r="J111" s="214">
        <f t="shared" si="111"/>
        <v>28.040800105974302</v>
      </c>
      <c r="K111" s="177"/>
      <c r="L111" s="495"/>
      <c r="M111" s="192">
        <v>8</v>
      </c>
      <c r="N111" s="242" t="s">
        <v>90</v>
      </c>
      <c r="O111" s="182" t="s">
        <v>29</v>
      </c>
      <c r="P111" s="312">
        <f t="shared" si="112"/>
        <v>3.943910537178605</v>
      </c>
      <c r="Q111" s="216">
        <f t="shared" si="126"/>
        <v>61530</v>
      </c>
      <c r="R111" s="217">
        <v>1</v>
      </c>
      <c r="S111" s="223">
        <f t="shared" si="118"/>
        <v>6.4097359616099547E-5</v>
      </c>
      <c r="T111" s="339">
        <f t="shared" si="119"/>
        <v>437472</v>
      </c>
      <c r="U111" s="338"/>
      <c r="V111" s="28">
        <f t="shared" si="113"/>
        <v>28.040800105974302</v>
      </c>
      <c r="W111" s="458"/>
      <c r="X111" s="192">
        <v>8</v>
      </c>
      <c r="Y111" s="242" t="s">
        <v>90</v>
      </c>
      <c r="Z111" s="182" t="s">
        <v>29</v>
      </c>
      <c r="AA111" s="312">
        <f t="shared" si="114"/>
        <v>8.9736303462539368E-4</v>
      </c>
      <c r="AB111" s="216">
        <f t="shared" si="129"/>
        <v>14</v>
      </c>
      <c r="AC111" s="217">
        <v>1</v>
      </c>
      <c r="AD111" s="223">
        <f t="shared" si="120"/>
        <v>6.4097359616099547E-5</v>
      </c>
      <c r="AE111" s="339">
        <f>420000/15*1.302*12</f>
        <v>437472</v>
      </c>
      <c r="AF111" s="338"/>
      <c r="AG111" s="28">
        <f t="shared" si="115"/>
        <v>28.040800105974302</v>
      </c>
      <c r="AH111" s="458"/>
      <c r="AI111" s="277">
        <v>15</v>
      </c>
      <c r="AJ111" s="124">
        <f t="shared" si="121"/>
        <v>14.999999999999998</v>
      </c>
      <c r="AK111" s="378">
        <f t="shared" si="122"/>
        <v>6562080</v>
      </c>
      <c r="AL111" s="134">
        <f>AK111/1.302/12/15</f>
        <v>28000</v>
      </c>
    </row>
    <row r="112" spans="1:39" ht="26.25">
      <c r="A112" s="192">
        <v>9</v>
      </c>
      <c r="B112" s="226" t="s">
        <v>91</v>
      </c>
      <c r="C112" s="182" t="s">
        <v>29</v>
      </c>
      <c r="D112" s="312">
        <f t="shared" si="110"/>
        <v>3.6850640332622566</v>
      </c>
      <c r="E112" s="216">
        <f t="shared" si="123"/>
        <v>172475</v>
      </c>
      <c r="F112" s="217">
        <v>1</v>
      </c>
      <c r="G112" s="223">
        <f t="shared" si="116"/>
        <v>2.1365786538699849E-5</v>
      </c>
      <c r="H112" s="339">
        <f t="shared" si="117"/>
        <v>437472</v>
      </c>
      <c r="I112" s="338"/>
      <c r="J112" s="214">
        <f t="shared" si="111"/>
        <v>9.3469333686580995</v>
      </c>
      <c r="K112" s="177"/>
      <c r="L112" s="495"/>
      <c r="M112" s="192">
        <v>9</v>
      </c>
      <c r="N112" s="242" t="s">
        <v>91</v>
      </c>
      <c r="O112" s="182" t="s">
        <v>29</v>
      </c>
      <c r="P112" s="312">
        <f t="shared" si="112"/>
        <v>1.3146368457262017</v>
      </c>
      <c r="Q112" s="216">
        <f t="shared" si="126"/>
        <v>61530</v>
      </c>
      <c r="R112" s="217">
        <v>1</v>
      </c>
      <c r="S112" s="223">
        <f t="shared" si="118"/>
        <v>2.1365786538699849E-5</v>
      </c>
      <c r="T112" s="339">
        <f t="shared" si="119"/>
        <v>437472</v>
      </c>
      <c r="U112" s="338"/>
      <c r="V112" s="28">
        <f t="shared" si="113"/>
        <v>9.3469333686580995</v>
      </c>
      <c r="W112" s="458"/>
      <c r="X112" s="192">
        <v>9</v>
      </c>
      <c r="Y112" s="242" t="s">
        <v>91</v>
      </c>
      <c r="Z112" s="182" t="s">
        <v>29</v>
      </c>
      <c r="AA112" s="312">
        <f t="shared" si="114"/>
        <v>2.9912101154179786E-4</v>
      </c>
      <c r="AB112" s="216">
        <f t="shared" si="129"/>
        <v>14</v>
      </c>
      <c r="AC112" s="217">
        <v>1</v>
      </c>
      <c r="AD112" s="223">
        <f t="shared" si="120"/>
        <v>2.1365786538699845E-5</v>
      </c>
      <c r="AE112" s="339">
        <f>140000/5*1.302*12</f>
        <v>437472</v>
      </c>
      <c r="AF112" s="338"/>
      <c r="AG112" s="28">
        <f t="shared" si="115"/>
        <v>9.3469333686580995</v>
      </c>
      <c r="AH112" s="458"/>
      <c r="AI112" s="277">
        <v>5</v>
      </c>
      <c r="AJ112" s="124">
        <f t="shared" si="121"/>
        <v>5</v>
      </c>
      <c r="AK112" s="378">
        <f t="shared" si="122"/>
        <v>2187359.9999999995</v>
      </c>
      <c r="AL112" s="134">
        <f>AK112/1.302/12/5</f>
        <v>27999.999999999993</v>
      </c>
    </row>
    <row r="113" spans="1:40" ht="26.25">
      <c r="A113" s="192">
        <v>10</v>
      </c>
      <c r="B113" s="227" t="s">
        <v>49</v>
      </c>
      <c r="C113" s="182" t="s">
        <v>29</v>
      </c>
      <c r="D113" s="312">
        <f t="shared" si="110"/>
        <v>5.8961024532196102</v>
      </c>
      <c r="E113" s="216">
        <f t="shared" si="123"/>
        <v>172475</v>
      </c>
      <c r="F113" s="217">
        <v>1</v>
      </c>
      <c r="G113" s="223">
        <f t="shared" si="116"/>
        <v>3.4185258461919759E-5</v>
      </c>
      <c r="H113" s="339">
        <f t="shared" si="117"/>
        <v>437472</v>
      </c>
      <c r="I113" s="338"/>
      <c r="J113" s="214">
        <f t="shared" si="111"/>
        <v>14.95509338985296</v>
      </c>
      <c r="K113" s="177"/>
      <c r="L113" s="495"/>
      <c r="M113" s="192">
        <v>10</v>
      </c>
      <c r="N113" s="243" t="s">
        <v>201</v>
      </c>
      <c r="O113" s="182" t="s">
        <v>29</v>
      </c>
      <c r="P113" s="312">
        <f t="shared" si="112"/>
        <v>2.1034189531619227</v>
      </c>
      <c r="Q113" s="216">
        <f t="shared" si="126"/>
        <v>61530</v>
      </c>
      <c r="R113" s="217">
        <v>1</v>
      </c>
      <c r="S113" s="223">
        <f t="shared" si="118"/>
        <v>3.4185258461919759E-5</v>
      </c>
      <c r="T113" s="339">
        <f t="shared" si="119"/>
        <v>437472</v>
      </c>
      <c r="U113" s="338"/>
      <c r="V113" s="28">
        <f t="shared" si="113"/>
        <v>14.95509338985296</v>
      </c>
      <c r="W113" s="458"/>
      <c r="X113" s="192">
        <v>10</v>
      </c>
      <c r="Y113" s="243" t="s">
        <v>201</v>
      </c>
      <c r="Z113" s="182" t="s">
        <v>29</v>
      </c>
      <c r="AA113" s="312">
        <f t="shared" si="114"/>
        <v>4.7859361846687665E-4</v>
      </c>
      <c r="AB113" s="216">
        <f t="shared" si="129"/>
        <v>14</v>
      </c>
      <c r="AC113" s="217">
        <v>1</v>
      </c>
      <c r="AD113" s="223">
        <f t="shared" si="120"/>
        <v>3.4185258461919759E-5</v>
      </c>
      <c r="AE113" s="339">
        <f>224000/8*1.302*12</f>
        <v>437472</v>
      </c>
      <c r="AF113" s="338"/>
      <c r="AG113" s="28">
        <f t="shared" si="115"/>
        <v>14.95509338985296</v>
      </c>
      <c r="AH113" s="458"/>
      <c r="AI113" s="277">
        <v>8</v>
      </c>
      <c r="AJ113" s="124">
        <f t="shared" si="121"/>
        <v>7.9999999999999991</v>
      </c>
      <c r="AK113" s="378">
        <f t="shared" si="122"/>
        <v>3499775.9999999995</v>
      </c>
      <c r="AL113" s="134">
        <f>AK113/1.302/12/8</f>
        <v>27999.999999999996</v>
      </c>
    </row>
    <row r="114" spans="1:40" ht="27" thickBot="1">
      <c r="A114" s="192">
        <v>11</v>
      </c>
      <c r="B114" s="227" t="s">
        <v>205</v>
      </c>
      <c r="C114" s="182" t="s">
        <v>29</v>
      </c>
      <c r="D114" s="312">
        <f t="shared" si="110"/>
        <v>0.73701280665245128</v>
      </c>
      <c r="E114" s="216">
        <f t="shared" ref="E114" si="133">E113</f>
        <v>172475</v>
      </c>
      <c r="F114" s="217">
        <v>1</v>
      </c>
      <c r="G114" s="223">
        <f t="shared" ref="G114" si="134">D114*F114/E114</f>
        <v>4.2731573077399699E-6</v>
      </c>
      <c r="H114" s="339">
        <f t="shared" si="117"/>
        <v>437472</v>
      </c>
      <c r="I114" s="338"/>
      <c r="J114" s="214">
        <f t="shared" ref="J114" si="135">G114*H114</f>
        <v>1.86938667373162</v>
      </c>
      <c r="K114" s="177"/>
      <c r="L114" s="495"/>
      <c r="M114" s="192">
        <v>11</v>
      </c>
      <c r="N114" s="243" t="s">
        <v>205</v>
      </c>
      <c r="O114" s="182" t="s">
        <v>29</v>
      </c>
      <c r="P114" s="312">
        <f t="shared" si="112"/>
        <v>0.26292736914524034</v>
      </c>
      <c r="Q114" s="216">
        <f t="shared" ref="Q114" si="136">Q113</f>
        <v>61530</v>
      </c>
      <c r="R114" s="217">
        <v>1</v>
      </c>
      <c r="S114" s="223">
        <f t="shared" ref="S114" si="137">P114*R114/Q114</f>
        <v>4.2731573077399699E-6</v>
      </c>
      <c r="T114" s="339">
        <f t="shared" si="119"/>
        <v>437472</v>
      </c>
      <c r="U114" s="338"/>
      <c r="V114" s="28">
        <f t="shared" ref="V114" si="138">S114*T114</f>
        <v>1.86938667373162</v>
      </c>
      <c r="W114" s="458"/>
      <c r="X114" s="192">
        <v>11</v>
      </c>
      <c r="Y114" s="243" t="s">
        <v>205</v>
      </c>
      <c r="Z114" s="182" t="s">
        <v>29</v>
      </c>
      <c r="AA114" s="312">
        <f t="shared" si="114"/>
        <v>5.9824202308359581E-5</v>
      </c>
      <c r="AB114" s="216">
        <f t="shared" si="129"/>
        <v>14</v>
      </c>
      <c r="AC114" s="217">
        <v>1</v>
      </c>
      <c r="AD114" s="223">
        <f t="shared" si="120"/>
        <v>4.2731573077399699E-6</v>
      </c>
      <c r="AE114" s="339">
        <f>28000*1.302*12</f>
        <v>437472</v>
      </c>
      <c r="AF114" s="338"/>
      <c r="AG114" s="28">
        <f t="shared" si="115"/>
        <v>1.86938667373162</v>
      </c>
      <c r="AH114" s="458"/>
      <c r="AI114" s="277">
        <v>1</v>
      </c>
      <c r="AJ114" s="124">
        <f t="shared" si="121"/>
        <v>0.99999999999999989</v>
      </c>
      <c r="AK114" s="378">
        <f t="shared" si="122"/>
        <v>437471.99999999994</v>
      </c>
      <c r="AL114" s="134">
        <f t="shared" si="130"/>
        <v>27999.999999999996</v>
      </c>
    </row>
    <row r="115" spans="1:40" ht="15.75" thickBot="1">
      <c r="A115" s="488" t="s">
        <v>26</v>
      </c>
      <c r="B115" s="489"/>
      <c r="C115" s="489"/>
      <c r="D115" s="489"/>
      <c r="E115" s="489"/>
      <c r="F115" s="489"/>
      <c r="G115" s="489"/>
      <c r="H115" s="489"/>
      <c r="I115" s="490"/>
      <c r="J115" s="222">
        <f>SUM(J104:J114)</f>
        <v>83.387998971023904</v>
      </c>
      <c r="K115" s="187"/>
      <c r="L115" s="495"/>
      <c r="M115" s="464" t="s">
        <v>26</v>
      </c>
      <c r="N115" s="465"/>
      <c r="O115" s="465"/>
      <c r="P115" s="465"/>
      <c r="Q115" s="465"/>
      <c r="R115" s="465"/>
      <c r="S115" s="465"/>
      <c r="T115" s="465"/>
      <c r="U115" s="466"/>
      <c r="V115" s="30">
        <f>SUM(V104:V114)</f>
        <v>83.387998971023904</v>
      </c>
      <c r="W115" s="459"/>
      <c r="X115" s="464" t="s">
        <v>26</v>
      </c>
      <c r="Y115" s="465"/>
      <c r="Z115" s="465"/>
      <c r="AA115" s="465"/>
      <c r="AB115" s="465"/>
      <c r="AC115" s="465"/>
      <c r="AD115" s="465"/>
      <c r="AE115" s="465"/>
      <c r="AF115" s="466"/>
      <c r="AG115" s="30">
        <f>SUM(AG104:AG114)</f>
        <v>83.387998971023904</v>
      </c>
      <c r="AH115" s="459"/>
      <c r="AI115" s="266"/>
      <c r="AJ115" s="261">
        <f>V115*Q114+J115*E114+AG115*AB114</f>
        <v>19514376.131200045</v>
      </c>
      <c r="AK115" s="377">
        <f>SUM(AK104:AK114)</f>
        <v>19514376.131200038</v>
      </c>
      <c r="AL115" s="367">
        <f>AG158</f>
        <v>40086046.960000001</v>
      </c>
      <c r="AM115" s="134">
        <f>AJ115+AK16</f>
        <v>40086046.960000046</v>
      </c>
    </row>
    <row r="116" spans="1:40" ht="15" customHeight="1" thickBot="1">
      <c r="A116" s="433" t="s">
        <v>58</v>
      </c>
      <c r="B116" s="434"/>
      <c r="C116" s="434"/>
      <c r="D116" s="434"/>
      <c r="E116" s="434"/>
      <c r="F116" s="434"/>
      <c r="G116" s="434"/>
      <c r="H116" s="434"/>
      <c r="I116" s="434"/>
      <c r="J116" s="434"/>
      <c r="K116" s="434"/>
      <c r="L116" s="435"/>
      <c r="M116" s="433" t="s">
        <v>58</v>
      </c>
      <c r="N116" s="434"/>
      <c r="O116" s="434"/>
      <c r="P116" s="434"/>
      <c r="Q116" s="434"/>
      <c r="R116" s="434"/>
      <c r="S116" s="434"/>
      <c r="T116" s="434"/>
      <c r="U116" s="434"/>
      <c r="V116" s="434"/>
      <c r="W116" s="435"/>
      <c r="X116" s="433" t="s">
        <v>58</v>
      </c>
      <c r="Y116" s="434"/>
      <c r="Z116" s="434"/>
      <c r="AA116" s="434"/>
      <c r="AB116" s="434"/>
      <c r="AC116" s="434"/>
      <c r="AD116" s="434"/>
      <c r="AE116" s="434"/>
      <c r="AF116" s="434"/>
      <c r="AG116" s="434"/>
      <c r="AH116" s="435"/>
      <c r="AI116" s="285"/>
      <c r="AL116" s="344" t="s">
        <v>178</v>
      </c>
      <c r="AM116" s="347">
        <f>AL115-AM115</f>
        <v>0</v>
      </c>
    </row>
    <row r="117" spans="1:40" ht="37.5" customHeight="1">
      <c r="A117" s="21">
        <v>1</v>
      </c>
      <c r="B117" s="228" t="s">
        <v>108</v>
      </c>
      <c r="C117" s="179" t="s">
        <v>162</v>
      </c>
      <c r="D117" s="312">
        <f t="shared" ref="D117:D124" si="139">1/234019*E117</f>
        <v>0.73701280665245128</v>
      </c>
      <c r="E117" s="216">
        <f>E113</f>
        <v>172475</v>
      </c>
      <c r="F117" s="217">
        <v>1</v>
      </c>
      <c r="G117" s="223">
        <f t="shared" ref="G117:G141" si="140">D117*F117/E117</f>
        <v>4.2731573077399699E-6</v>
      </c>
      <c r="H117" s="355">
        <f>T117</f>
        <v>10000</v>
      </c>
      <c r="I117" s="302"/>
      <c r="J117" s="214">
        <f>G117*H117</f>
        <v>4.27315730773997E-2</v>
      </c>
      <c r="K117" s="176"/>
      <c r="L117" s="496" t="s">
        <v>168</v>
      </c>
      <c r="M117" s="21">
        <v>1</v>
      </c>
      <c r="N117" s="244" t="s">
        <v>108</v>
      </c>
      <c r="O117" s="179" t="s">
        <v>162</v>
      </c>
      <c r="P117" s="312">
        <f t="shared" ref="P117:P124" si="141">1/234019*Q117</f>
        <v>0.26292736914524034</v>
      </c>
      <c r="Q117" s="216">
        <f>Q113</f>
        <v>61530</v>
      </c>
      <c r="R117" s="217">
        <v>1</v>
      </c>
      <c r="S117" s="223">
        <f t="shared" ref="S117:S141" si="142">P117*R117/Q117</f>
        <v>4.2731573077399699E-6</v>
      </c>
      <c r="T117" s="340">
        <f>AE117</f>
        <v>10000</v>
      </c>
      <c r="U117" s="338"/>
      <c r="V117" s="28">
        <f>S117*T117</f>
        <v>4.27315730773997E-2</v>
      </c>
      <c r="W117" s="449" t="s">
        <v>168</v>
      </c>
      <c r="X117" s="21">
        <v>1</v>
      </c>
      <c r="Y117" s="244" t="s">
        <v>108</v>
      </c>
      <c r="Z117" s="179" t="s">
        <v>162</v>
      </c>
      <c r="AA117" s="312">
        <f t="shared" ref="AA117:AA124" si="143">1/234019*AB117</f>
        <v>5.9824202308359581E-5</v>
      </c>
      <c r="AB117" s="216">
        <f>AB113</f>
        <v>14</v>
      </c>
      <c r="AC117" s="217">
        <v>1</v>
      </c>
      <c r="AD117" s="223">
        <f t="shared" ref="AD117:AD139" si="144">AA117*AC117/AB117</f>
        <v>4.2731573077399699E-6</v>
      </c>
      <c r="AE117" s="340">
        <v>10000</v>
      </c>
      <c r="AF117" s="338"/>
      <c r="AG117" s="28">
        <f>AD117*AE117</f>
        <v>4.27315730773997E-2</v>
      </c>
      <c r="AH117" s="449" t="s">
        <v>168</v>
      </c>
      <c r="AI117" s="294">
        <f>AA117+P117+D117</f>
        <v>1</v>
      </c>
      <c r="AJ117" s="380">
        <v>340</v>
      </c>
      <c r="AK117" s="368">
        <f>V117*Q117+J117*E117+AG117*AB117</f>
        <v>10000</v>
      </c>
      <c r="AL117" s="134">
        <v>10000</v>
      </c>
      <c r="AM117" s="134">
        <f>AL117-AK117</f>
        <v>0</v>
      </c>
    </row>
    <row r="118" spans="1:40" ht="39">
      <c r="A118" s="21">
        <v>2</v>
      </c>
      <c r="B118" s="228" t="s">
        <v>109</v>
      </c>
      <c r="C118" s="179" t="s">
        <v>162</v>
      </c>
      <c r="D118" s="312">
        <f t="shared" si="139"/>
        <v>0.73701280665245128</v>
      </c>
      <c r="E118" s="216">
        <f>E117</f>
        <v>172475</v>
      </c>
      <c r="F118" s="217">
        <v>1</v>
      </c>
      <c r="G118" s="223">
        <f t="shared" si="140"/>
        <v>4.2731573077399699E-6</v>
      </c>
      <c r="H118" s="355">
        <f t="shared" ref="H118:H141" si="145">T118</f>
        <v>1000</v>
      </c>
      <c r="I118" s="302"/>
      <c r="J118" s="214">
        <f t="shared" ref="J118:J141" si="146">G118*H118</f>
        <v>4.2731573077399703E-3</v>
      </c>
      <c r="K118" s="177"/>
      <c r="L118" s="497"/>
      <c r="M118" s="21">
        <v>2</v>
      </c>
      <c r="N118" s="244" t="s">
        <v>109</v>
      </c>
      <c r="O118" s="179" t="s">
        <v>162</v>
      </c>
      <c r="P118" s="312">
        <f t="shared" si="141"/>
        <v>0.26292736914524034</v>
      </c>
      <c r="Q118" s="216">
        <f>Q117</f>
        <v>61530</v>
      </c>
      <c r="R118" s="217">
        <v>1</v>
      </c>
      <c r="S118" s="223">
        <f t="shared" si="142"/>
        <v>4.2731573077399699E-6</v>
      </c>
      <c r="T118" s="340">
        <f t="shared" ref="T118:T141" si="147">AE118</f>
        <v>1000</v>
      </c>
      <c r="U118" s="338"/>
      <c r="V118" s="28">
        <f t="shared" ref="V118:V141" si="148">S118*T118</f>
        <v>4.2731573077399703E-3</v>
      </c>
      <c r="W118" s="450"/>
      <c r="X118" s="21">
        <v>2</v>
      </c>
      <c r="Y118" s="244" t="s">
        <v>109</v>
      </c>
      <c r="Z118" s="179" t="s">
        <v>162</v>
      </c>
      <c r="AA118" s="312">
        <f t="shared" si="143"/>
        <v>5.9824202308359581E-5</v>
      </c>
      <c r="AB118" s="216">
        <f>AB117</f>
        <v>14</v>
      </c>
      <c r="AC118" s="217">
        <v>1</v>
      </c>
      <c r="AD118" s="223">
        <f t="shared" si="144"/>
        <v>4.2731573077399699E-6</v>
      </c>
      <c r="AE118" s="340">
        <v>1000</v>
      </c>
      <c r="AF118" s="338"/>
      <c r="AG118" s="28">
        <f t="shared" ref="AG118:AG141" si="149">AD118*AE118</f>
        <v>4.2731573077399703E-3</v>
      </c>
      <c r="AH118" s="450"/>
      <c r="AI118" s="294">
        <f t="shared" ref="AI118:AI141" si="150">AA118+P118+D118</f>
        <v>1</v>
      </c>
      <c r="AJ118" s="126">
        <v>226</v>
      </c>
      <c r="AK118" s="368">
        <f t="shared" ref="AK118:AK141" si="151">V118*Q118+J118*E118+AG118*AB118</f>
        <v>1000.0000000000001</v>
      </c>
      <c r="AL118" s="382">
        <v>1000</v>
      </c>
      <c r="AM118" s="134">
        <f t="shared" ref="AM118:AM140" si="152">AL118-AK118</f>
        <v>0</v>
      </c>
    </row>
    <row r="119" spans="1:40" ht="37.5" customHeight="1">
      <c r="A119" s="21">
        <v>3</v>
      </c>
      <c r="B119" s="228" t="s">
        <v>133</v>
      </c>
      <c r="C119" s="179" t="s">
        <v>162</v>
      </c>
      <c r="D119" s="312">
        <f t="shared" si="139"/>
        <v>0.73701280665245128</v>
      </c>
      <c r="E119" s="216">
        <f t="shared" ref="E119:E138" si="153">E118</f>
        <v>172475</v>
      </c>
      <c r="F119" s="217">
        <v>1</v>
      </c>
      <c r="G119" s="223">
        <f t="shared" si="140"/>
        <v>4.2731573077399699E-6</v>
      </c>
      <c r="H119" s="355">
        <f t="shared" si="145"/>
        <v>65000</v>
      </c>
      <c r="I119" s="302"/>
      <c r="J119" s="214">
        <f t="shared" si="146"/>
        <v>0.27775522500309807</v>
      </c>
      <c r="K119" s="177"/>
      <c r="L119" s="497"/>
      <c r="M119" s="21">
        <v>3</v>
      </c>
      <c r="N119" s="244" t="s">
        <v>133</v>
      </c>
      <c r="O119" s="179" t="s">
        <v>162</v>
      </c>
      <c r="P119" s="312">
        <f t="shared" si="141"/>
        <v>0.26292736914524034</v>
      </c>
      <c r="Q119" s="216">
        <f t="shared" ref="Q119:Q138" si="154">Q118</f>
        <v>61530</v>
      </c>
      <c r="R119" s="217">
        <v>1</v>
      </c>
      <c r="S119" s="223">
        <f t="shared" si="142"/>
        <v>4.2731573077399699E-6</v>
      </c>
      <c r="T119" s="340">
        <f t="shared" si="147"/>
        <v>65000</v>
      </c>
      <c r="U119" s="338"/>
      <c r="V119" s="28">
        <f t="shared" si="148"/>
        <v>0.27775522500309807</v>
      </c>
      <c r="W119" s="450"/>
      <c r="X119" s="21">
        <v>3</v>
      </c>
      <c r="Y119" s="244" t="s">
        <v>133</v>
      </c>
      <c r="Z119" s="179" t="s">
        <v>162</v>
      </c>
      <c r="AA119" s="312">
        <f t="shared" si="143"/>
        <v>5.9824202308359581E-5</v>
      </c>
      <c r="AB119" s="216">
        <f t="shared" ref="AB119:AB140" si="155">AB118</f>
        <v>14</v>
      </c>
      <c r="AC119" s="217">
        <v>1</v>
      </c>
      <c r="AD119" s="223">
        <f t="shared" si="144"/>
        <v>4.2731573077399699E-6</v>
      </c>
      <c r="AE119" s="340">
        <v>65000</v>
      </c>
      <c r="AF119" s="338"/>
      <c r="AG119" s="28">
        <f t="shared" si="149"/>
        <v>0.27775522500309807</v>
      </c>
      <c r="AH119" s="450"/>
      <c r="AI119" s="294">
        <f t="shared" si="150"/>
        <v>1</v>
      </c>
      <c r="AJ119" s="126">
        <v>226</v>
      </c>
      <c r="AK119" s="368">
        <f t="shared" si="151"/>
        <v>65000.000000000007</v>
      </c>
      <c r="AL119" s="382">
        <v>65000</v>
      </c>
      <c r="AM119" s="134">
        <f t="shared" si="152"/>
        <v>0</v>
      </c>
    </row>
    <row r="120" spans="1:40" ht="39" customHeight="1">
      <c r="A120" s="21">
        <v>4</v>
      </c>
      <c r="B120" s="228" t="s">
        <v>110</v>
      </c>
      <c r="C120" s="179" t="s">
        <v>162</v>
      </c>
      <c r="D120" s="312">
        <f t="shared" si="139"/>
        <v>0.73701280665245128</v>
      </c>
      <c r="E120" s="216">
        <f t="shared" si="153"/>
        <v>172475</v>
      </c>
      <c r="F120" s="217">
        <v>1</v>
      </c>
      <c r="G120" s="223">
        <f t="shared" si="140"/>
        <v>4.2731573077399699E-6</v>
      </c>
      <c r="H120" s="355">
        <f t="shared" si="145"/>
        <v>50000</v>
      </c>
      <c r="I120" s="302"/>
      <c r="J120" s="214">
        <f t="shared" si="146"/>
        <v>0.21365786538699849</v>
      </c>
      <c r="K120" s="177"/>
      <c r="L120" s="497"/>
      <c r="M120" s="21">
        <v>4</v>
      </c>
      <c r="N120" s="244" t="s">
        <v>110</v>
      </c>
      <c r="O120" s="179" t="s">
        <v>162</v>
      </c>
      <c r="P120" s="312">
        <f t="shared" si="141"/>
        <v>0.26292736914524034</v>
      </c>
      <c r="Q120" s="216">
        <f t="shared" si="154"/>
        <v>61530</v>
      </c>
      <c r="R120" s="217">
        <v>1</v>
      </c>
      <c r="S120" s="223">
        <f t="shared" si="142"/>
        <v>4.2731573077399699E-6</v>
      </c>
      <c r="T120" s="340">
        <f t="shared" si="147"/>
        <v>50000</v>
      </c>
      <c r="U120" s="338"/>
      <c r="V120" s="28">
        <f t="shared" si="148"/>
        <v>0.21365786538699849</v>
      </c>
      <c r="W120" s="450"/>
      <c r="X120" s="21">
        <v>4</v>
      </c>
      <c r="Y120" s="244" t="s">
        <v>110</v>
      </c>
      <c r="Z120" s="179" t="s">
        <v>162</v>
      </c>
      <c r="AA120" s="312">
        <f t="shared" si="143"/>
        <v>5.9824202308359581E-5</v>
      </c>
      <c r="AB120" s="216">
        <f t="shared" si="155"/>
        <v>14</v>
      </c>
      <c r="AC120" s="217">
        <v>1</v>
      </c>
      <c r="AD120" s="223">
        <f t="shared" si="144"/>
        <v>4.2731573077399699E-6</v>
      </c>
      <c r="AE120" s="340">
        <v>50000</v>
      </c>
      <c r="AF120" s="338"/>
      <c r="AG120" s="28">
        <f t="shared" si="149"/>
        <v>0.21365786538699849</v>
      </c>
      <c r="AH120" s="450"/>
      <c r="AI120" s="294">
        <f t="shared" si="150"/>
        <v>1</v>
      </c>
      <c r="AJ120" s="126">
        <v>226</v>
      </c>
      <c r="AK120" s="368">
        <f t="shared" si="151"/>
        <v>50000</v>
      </c>
      <c r="AL120" s="382">
        <v>50000</v>
      </c>
      <c r="AM120" s="134">
        <f t="shared" si="152"/>
        <v>0</v>
      </c>
    </row>
    <row r="121" spans="1:40" ht="39">
      <c r="A121" s="21">
        <v>5</v>
      </c>
      <c r="B121" s="228" t="s">
        <v>177</v>
      </c>
      <c r="C121" s="179" t="s">
        <v>162</v>
      </c>
      <c r="D121" s="312">
        <f t="shared" si="139"/>
        <v>0.73701280665245128</v>
      </c>
      <c r="E121" s="216">
        <f t="shared" si="153"/>
        <v>172475</v>
      </c>
      <c r="F121" s="217">
        <v>1</v>
      </c>
      <c r="G121" s="223">
        <f t="shared" si="140"/>
        <v>4.2731573077399699E-6</v>
      </c>
      <c r="H121" s="355">
        <f t="shared" si="145"/>
        <v>131852.24</v>
      </c>
      <c r="I121" s="302"/>
      <c r="J121" s="214">
        <f t="shared" si="146"/>
        <v>0.56342536289788436</v>
      </c>
      <c r="K121" s="177"/>
      <c r="L121" s="497"/>
      <c r="M121" s="21">
        <v>5</v>
      </c>
      <c r="N121" s="244" t="s">
        <v>177</v>
      </c>
      <c r="O121" s="179" t="s">
        <v>162</v>
      </c>
      <c r="P121" s="312">
        <f t="shared" si="141"/>
        <v>0.26292736914524034</v>
      </c>
      <c r="Q121" s="216">
        <f t="shared" si="154"/>
        <v>61530</v>
      </c>
      <c r="R121" s="217">
        <v>1</v>
      </c>
      <c r="S121" s="223">
        <f t="shared" si="142"/>
        <v>4.2731573077399699E-6</v>
      </c>
      <c r="T121" s="340">
        <f t="shared" si="147"/>
        <v>131852.24</v>
      </c>
      <c r="U121" s="338"/>
      <c r="V121" s="28">
        <f t="shared" si="148"/>
        <v>0.56342536289788436</v>
      </c>
      <c r="W121" s="450"/>
      <c r="X121" s="21">
        <v>5</v>
      </c>
      <c r="Y121" s="244" t="s">
        <v>177</v>
      </c>
      <c r="Z121" s="179" t="s">
        <v>162</v>
      </c>
      <c r="AA121" s="312">
        <f t="shared" si="143"/>
        <v>5.9824202308359581E-5</v>
      </c>
      <c r="AB121" s="216">
        <f t="shared" si="155"/>
        <v>14</v>
      </c>
      <c r="AC121" s="217">
        <v>1</v>
      </c>
      <c r="AD121" s="223">
        <f t="shared" si="144"/>
        <v>4.2731573077399699E-6</v>
      </c>
      <c r="AE121" s="340">
        <v>131852.24</v>
      </c>
      <c r="AF121" s="338"/>
      <c r="AG121" s="28">
        <f t="shared" si="149"/>
        <v>0.56342536289788436</v>
      </c>
      <c r="AH121" s="450"/>
      <c r="AI121" s="294">
        <f t="shared" si="150"/>
        <v>1</v>
      </c>
      <c r="AJ121" s="126">
        <v>226</v>
      </c>
      <c r="AK121" s="368">
        <f t="shared" si="151"/>
        <v>131852.24</v>
      </c>
      <c r="AL121" s="382">
        <v>131852.24</v>
      </c>
      <c r="AM121" s="134">
        <f t="shared" si="152"/>
        <v>0</v>
      </c>
    </row>
    <row r="122" spans="1:40" ht="39">
      <c r="A122" s="21">
        <v>6</v>
      </c>
      <c r="B122" s="228" t="str">
        <f>N122</f>
        <v>Замена технического паспорта</v>
      </c>
      <c r="C122" s="179" t="s">
        <v>162</v>
      </c>
      <c r="D122" s="312">
        <f t="shared" si="139"/>
        <v>0.73701280665245128</v>
      </c>
      <c r="E122" s="216">
        <f t="shared" si="153"/>
        <v>172475</v>
      </c>
      <c r="F122" s="217">
        <v>1</v>
      </c>
      <c r="G122" s="223">
        <f t="shared" si="140"/>
        <v>4.2731573077399699E-6</v>
      </c>
      <c r="H122" s="355">
        <f t="shared" si="145"/>
        <v>0</v>
      </c>
      <c r="I122" s="302"/>
      <c r="J122" s="214">
        <f t="shared" si="146"/>
        <v>0</v>
      </c>
      <c r="K122" s="177"/>
      <c r="L122" s="497"/>
      <c r="M122" s="21">
        <v>6</v>
      </c>
      <c r="N122" s="244" t="str">
        <f>Y122</f>
        <v>Замена технического паспорта</v>
      </c>
      <c r="O122" s="179" t="s">
        <v>162</v>
      </c>
      <c r="P122" s="312">
        <f t="shared" si="141"/>
        <v>0.26292736914524034</v>
      </c>
      <c r="Q122" s="216">
        <f t="shared" si="154"/>
        <v>61530</v>
      </c>
      <c r="R122" s="217">
        <v>1</v>
      </c>
      <c r="S122" s="223">
        <f t="shared" si="142"/>
        <v>4.2731573077399699E-6</v>
      </c>
      <c r="T122" s="340">
        <f t="shared" si="147"/>
        <v>0</v>
      </c>
      <c r="U122" s="338"/>
      <c r="V122" s="28">
        <f t="shared" si="148"/>
        <v>0</v>
      </c>
      <c r="W122" s="450"/>
      <c r="X122" s="21">
        <v>6</v>
      </c>
      <c r="Y122" s="244" t="s">
        <v>233</v>
      </c>
      <c r="Z122" s="179" t="s">
        <v>162</v>
      </c>
      <c r="AA122" s="312">
        <f t="shared" si="143"/>
        <v>5.9824202308359581E-5</v>
      </c>
      <c r="AB122" s="216">
        <f t="shared" si="155"/>
        <v>14</v>
      </c>
      <c r="AC122" s="217">
        <v>1</v>
      </c>
      <c r="AD122" s="223">
        <f t="shared" si="144"/>
        <v>4.2731573077399699E-6</v>
      </c>
      <c r="AE122" s="340">
        <v>0</v>
      </c>
      <c r="AF122" s="338"/>
      <c r="AG122" s="28">
        <f t="shared" si="149"/>
        <v>0</v>
      </c>
      <c r="AH122" s="450"/>
      <c r="AI122" s="294">
        <f t="shared" si="150"/>
        <v>1</v>
      </c>
      <c r="AJ122" s="126">
        <v>226</v>
      </c>
      <c r="AK122" s="368">
        <f t="shared" si="151"/>
        <v>0</v>
      </c>
      <c r="AL122" s="382">
        <v>0</v>
      </c>
      <c r="AM122" s="134">
        <f t="shared" si="152"/>
        <v>0</v>
      </c>
    </row>
    <row r="123" spans="1:40" ht="39">
      <c r="A123" s="21">
        <v>7</v>
      </c>
      <c r="B123" s="228" t="s">
        <v>111</v>
      </c>
      <c r="C123" s="179" t="s">
        <v>162</v>
      </c>
      <c r="D123" s="312">
        <f t="shared" si="139"/>
        <v>0.73701280665245128</v>
      </c>
      <c r="E123" s="216">
        <f t="shared" si="153"/>
        <v>172475</v>
      </c>
      <c r="F123" s="217">
        <v>1</v>
      </c>
      <c r="G123" s="223">
        <f t="shared" ref="G123:G124" si="156">D123*F123/E123</f>
        <v>4.2731573077399699E-6</v>
      </c>
      <c r="H123" s="355">
        <f t="shared" si="145"/>
        <v>0</v>
      </c>
      <c r="I123" s="302"/>
      <c r="J123" s="214">
        <f t="shared" si="146"/>
        <v>0</v>
      </c>
      <c r="K123" s="177"/>
      <c r="L123" s="497"/>
      <c r="M123" s="21">
        <v>7</v>
      </c>
      <c r="N123" s="244" t="s">
        <v>111</v>
      </c>
      <c r="O123" s="179" t="s">
        <v>162</v>
      </c>
      <c r="P123" s="312">
        <f t="shared" si="141"/>
        <v>0.26292736914524034</v>
      </c>
      <c r="Q123" s="216">
        <f t="shared" si="154"/>
        <v>61530</v>
      </c>
      <c r="R123" s="217">
        <v>1</v>
      </c>
      <c r="S123" s="223">
        <f t="shared" si="142"/>
        <v>4.2731573077399699E-6</v>
      </c>
      <c r="T123" s="340">
        <f t="shared" si="147"/>
        <v>0</v>
      </c>
      <c r="U123" s="338"/>
      <c r="V123" s="28">
        <f t="shared" si="148"/>
        <v>0</v>
      </c>
      <c r="W123" s="450"/>
      <c r="X123" s="21">
        <v>7</v>
      </c>
      <c r="Y123" s="244" t="s">
        <v>216</v>
      </c>
      <c r="Z123" s="179" t="s">
        <v>162</v>
      </c>
      <c r="AA123" s="312">
        <f t="shared" si="143"/>
        <v>5.9824202308359581E-5</v>
      </c>
      <c r="AB123" s="216">
        <f t="shared" si="155"/>
        <v>14</v>
      </c>
      <c r="AC123" s="217">
        <v>1</v>
      </c>
      <c r="AD123" s="223">
        <f t="shared" si="144"/>
        <v>4.2731573077399699E-6</v>
      </c>
      <c r="AE123" s="340">
        <v>0</v>
      </c>
      <c r="AF123" s="338"/>
      <c r="AG123" s="28">
        <f t="shared" si="149"/>
        <v>0</v>
      </c>
      <c r="AH123" s="450"/>
      <c r="AI123" s="294">
        <f t="shared" si="150"/>
        <v>1</v>
      </c>
      <c r="AJ123" s="126">
        <v>290</v>
      </c>
      <c r="AK123" s="368">
        <f t="shared" si="151"/>
        <v>0</v>
      </c>
      <c r="AL123" s="366">
        <f>AG167</f>
        <v>0</v>
      </c>
      <c r="AM123" s="134">
        <f t="shared" si="152"/>
        <v>0</v>
      </c>
    </row>
    <row r="124" spans="1:40" ht="39">
      <c r="A124" s="21">
        <v>8</v>
      </c>
      <c r="B124" s="229" t="s">
        <v>112</v>
      </c>
      <c r="C124" s="179" t="s">
        <v>162</v>
      </c>
      <c r="D124" s="312">
        <f t="shared" si="139"/>
        <v>0.73701280665245128</v>
      </c>
      <c r="E124" s="216">
        <f t="shared" si="153"/>
        <v>172475</v>
      </c>
      <c r="F124" s="217">
        <v>1</v>
      </c>
      <c r="G124" s="223">
        <f t="shared" si="156"/>
        <v>4.2731573077399699E-6</v>
      </c>
      <c r="H124" s="355">
        <f t="shared" si="145"/>
        <v>1800</v>
      </c>
      <c r="I124" s="301"/>
      <c r="J124" s="214">
        <f t="shared" si="146"/>
        <v>7.6916831539319457E-3</v>
      </c>
      <c r="K124" s="188"/>
      <c r="L124" s="497"/>
      <c r="M124" s="21">
        <v>8</v>
      </c>
      <c r="N124" s="245" t="s">
        <v>112</v>
      </c>
      <c r="O124" s="179" t="s">
        <v>162</v>
      </c>
      <c r="P124" s="312">
        <f t="shared" si="141"/>
        <v>0.26292736914524034</v>
      </c>
      <c r="Q124" s="216">
        <f t="shared" si="154"/>
        <v>61530</v>
      </c>
      <c r="R124" s="217">
        <v>1</v>
      </c>
      <c r="S124" s="223">
        <f t="shared" si="142"/>
        <v>4.2731573077399699E-6</v>
      </c>
      <c r="T124" s="340">
        <f t="shared" si="147"/>
        <v>1800</v>
      </c>
      <c r="U124" s="356"/>
      <c r="V124" s="28">
        <f t="shared" si="148"/>
        <v>7.6916831539319457E-3</v>
      </c>
      <c r="W124" s="450"/>
      <c r="X124" s="21">
        <v>8</v>
      </c>
      <c r="Y124" s="245" t="s">
        <v>112</v>
      </c>
      <c r="Z124" s="179" t="s">
        <v>162</v>
      </c>
      <c r="AA124" s="312">
        <f t="shared" si="143"/>
        <v>5.9824202308359581E-5</v>
      </c>
      <c r="AB124" s="216">
        <f t="shared" si="155"/>
        <v>14</v>
      </c>
      <c r="AC124" s="217">
        <v>1</v>
      </c>
      <c r="AD124" s="223">
        <f t="shared" si="144"/>
        <v>4.2731573077399699E-6</v>
      </c>
      <c r="AE124" s="341">
        <v>1800</v>
      </c>
      <c r="AF124" s="356"/>
      <c r="AG124" s="28">
        <f t="shared" si="149"/>
        <v>7.6916831539319457E-3</v>
      </c>
      <c r="AH124" s="450"/>
      <c r="AI124" s="294">
        <f t="shared" si="150"/>
        <v>1</v>
      </c>
      <c r="AJ124" s="126">
        <v>212</v>
      </c>
      <c r="AK124" s="368">
        <f t="shared" si="151"/>
        <v>1800</v>
      </c>
      <c r="AL124" s="366">
        <f>AH159</f>
        <v>1800</v>
      </c>
      <c r="AM124" s="134">
        <f t="shared" si="152"/>
        <v>0</v>
      </c>
    </row>
    <row r="125" spans="1:40" ht="45" customHeight="1">
      <c r="A125" s="21">
        <v>9</v>
      </c>
      <c r="B125" s="229" t="s">
        <v>127</v>
      </c>
      <c r="C125" s="179" t="s">
        <v>155</v>
      </c>
      <c r="D125" s="312">
        <f>20/234019*E125</f>
        <v>14.740256133049026</v>
      </c>
      <c r="E125" s="216">
        <f>E124</f>
        <v>172475</v>
      </c>
      <c r="F125" s="217">
        <v>1</v>
      </c>
      <c r="G125" s="223">
        <f t="shared" ref="G125:G131" si="157">D125*F125/E125</f>
        <v>8.5463146154799395E-5</v>
      </c>
      <c r="H125" s="355">
        <f t="shared" si="145"/>
        <v>4000</v>
      </c>
      <c r="I125" s="301"/>
      <c r="J125" s="214">
        <f t="shared" si="146"/>
        <v>0.3418525846191976</v>
      </c>
      <c r="K125" s="177"/>
      <c r="L125" s="497"/>
      <c r="M125" s="21">
        <v>9</v>
      </c>
      <c r="N125" s="245" t="s">
        <v>127</v>
      </c>
      <c r="O125" s="179" t="s">
        <v>155</v>
      </c>
      <c r="P125" s="312">
        <f>20/234019*Q125</f>
        <v>5.2585473829048066</v>
      </c>
      <c r="Q125" s="216">
        <f t="shared" si="154"/>
        <v>61530</v>
      </c>
      <c r="R125" s="217">
        <v>1</v>
      </c>
      <c r="S125" s="223">
        <f t="shared" si="142"/>
        <v>8.5463146154799395E-5</v>
      </c>
      <c r="T125" s="340">
        <f t="shared" si="147"/>
        <v>4000</v>
      </c>
      <c r="U125" s="356"/>
      <c r="V125" s="28">
        <f t="shared" si="148"/>
        <v>0.3418525846191976</v>
      </c>
      <c r="W125" s="450"/>
      <c r="X125" s="21">
        <v>9</v>
      </c>
      <c r="Y125" s="245" t="s">
        <v>127</v>
      </c>
      <c r="Z125" s="179" t="s">
        <v>155</v>
      </c>
      <c r="AA125" s="312">
        <f>20/234019*AB125</f>
        <v>1.1964840461671914E-3</v>
      </c>
      <c r="AB125" s="216">
        <f t="shared" si="155"/>
        <v>14</v>
      </c>
      <c r="AC125" s="217">
        <v>1</v>
      </c>
      <c r="AD125" s="223">
        <f t="shared" si="144"/>
        <v>8.5463146154799382E-5</v>
      </c>
      <c r="AE125" s="341">
        <v>4000</v>
      </c>
      <c r="AF125" s="356"/>
      <c r="AG125" s="28">
        <f t="shared" si="149"/>
        <v>0.34185258461919754</v>
      </c>
      <c r="AH125" s="450"/>
      <c r="AI125" s="294">
        <f t="shared" si="150"/>
        <v>20</v>
      </c>
      <c r="AJ125" s="132">
        <v>226</v>
      </c>
      <c r="AK125" s="368">
        <f t="shared" si="151"/>
        <v>80000</v>
      </c>
      <c r="AL125" s="382">
        <f>AL49-AK49</f>
        <v>80000</v>
      </c>
      <c r="AM125" s="134">
        <f t="shared" si="152"/>
        <v>0</v>
      </c>
      <c r="AN125" s="148">
        <f>AM49</f>
        <v>0</v>
      </c>
    </row>
    <row r="126" spans="1:40" ht="39" hidden="1" customHeight="1">
      <c r="A126" s="21">
        <v>10</v>
      </c>
      <c r="B126" s="228" t="s">
        <v>128</v>
      </c>
      <c r="C126" s="179" t="s">
        <v>162</v>
      </c>
      <c r="D126" s="312">
        <f t="shared" ref="D126:D141" si="158">1/234019*E126</f>
        <v>0.73701280665245128</v>
      </c>
      <c r="E126" s="216">
        <f t="shared" si="153"/>
        <v>172475</v>
      </c>
      <c r="F126" s="217">
        <v>1</v>
      </c>
      <c r="G126" s="223">
        <f t="shared" si="157"/>
        <v>4.2731573077399699E-6</v>
      </c>
      <c r="H126" s="355">
        <f t="shared" si="145"/>
        <v>0</v>
      </c>
      <c r="I126" s="302"/>
      <c r="J126" s="214">
        <f t="shared" si="146"/>
        <v>0</v>
      </c>
      <c r="K126" s="177"/>
      <c r="L126" s="497"/>
      <c r="M126" s="21">
        <v>11</v>
      </c>
      <c r="N126" s="244" t="s">
        <v>128</v>
      </c>
      <c r="O126" s="179" t="s">
        <v>162</v>
      </c>
      <c r="P126" s="312">
        <f t="shared" ref="P126:P141" si="159">1/234019*Q126</f>
        <v>0.26292736914524034</v>
      </c>
      <c r="Q126" s="216">
        <f t="shared" si="154"/>
        <v>61530</v>
      </c>
      <c r="R126" s="217">
        <v>1</v>
      </c>
      <c r="S126" s="223">
        <f t="shared" si="142"/>
        <v>4.2731573077399699E-6</v>
      </c>
      <c r="T126" s="340">
        <f t="shared" si="147"/>
        <v>0</v>
      </c>
      <c r="U126" s="338"/>
      <c r="V126" s="28">
        <f t="shared" si="148"/>
        <v>0</v>
      </c>
      <c r="W126" s="450"/>
      <c r="X126" s="21">
        <v>11</v>
      </c>
      <c r="Y126" s="244" t="s">
        <v>128</v>
      </c>
      <c r="Z126" s="179" t="s">
        <v>162</v>
      </c>
      <c r="AA126" s="312">
        <f t="shared" ref="AA126:AA141" si="160">1/234019*AB126</f>
        <v>5.9824202308359581E-5</v>
      </c>
      <c r="AB126" s="216">
        <f t="shared" si="155"/>
        <v>14</v>
      </c>
      <c r="AC126" s="217">
        <v>1</v>
      </c>
      <c r="AD126" s="223">
        <f t="shared" si="144"/>
        <v>4.2731573077399699E-6</v>
      </c>
      <c r="AE126" s="340">
        <v>0</v>
      </c>
      <c r="AF126" s="338"/>
      <c r="AG126" s="28">
        <f t="shared" si="149"/>
        <v>0</v>
      </c>
      <c r="AH126" s="450"/>
      <c r="AI126" s="294">
        <f t="shared" si="150"/>
        <v>1</v>
      </c>
      <c r="AJ126" s="126">
        <v>226</v>
      </c>
      <c r="AK126" s="368">
        <f t="shared" si="151"/>
        <v>0</v>
      </c>
      <c r="AM126" s="134">
        <f t="shared" si="152"/>
        <v>0</v>
      </c>
    </row>
    <row r="127" spans="1:40" ht="39" hidden="1" customHeight="1">
      <c r="A127" s="21">
        <v>11</v>
      </c>
      <c r="B127" s="230" t="s">
        <v>188</v>
      </c>
      <c r="C127" s="179" t="s">
        <v>162</v>
      </c>
      <c r="D127" s="312">
        <f t="shared" si="158"/>
        <v>0.73701280665245128</v>
      </c>
      <c r="E127" s="216">
        <f t="shared" si="153"/>
        <v>172475</v>
      </c>
      <c r="F127" s="217">
        <v>1</v>
      </c>
      <c r="G127" s="223">
        <f t="shared" ref="G127" si="161">D127*F127/E127</f>
        <v>4.2731573077399699E-6</v>
      </c>
      <c r="H127" s="355">
        <f t="shared" si="145"/>
        <v>0</v>
      </c>
      <c r="I127" s="302"/>
      <c r="J127" s="214">
        <f t="shared" si="146"/>
        <v>0</v>
      </c>
      <c r="K127" s="177"/>
      <c r="L127" s="497"/>
      <c r="M127" s="21">
        <v>12</v>
      </c>
      <c r="N127" s="246" t="s">
        <v>188</v>
      </c>
      <c r="O127" s="179" t="s">
        <v>162</v>
      </c>
      <c r="P127" s="312">
        <f t="shared" si="159"/>
        <v>0.26292736914524034</v>
      </c>
      <c r="Q127" s="216">
        <f t="shared" si="154"/>
        <v>61530</v>
      </c>
      <c r="R127" s="217">
        <v>1</v>
      </c>
      <c r="S127" s="223">
        <f t="shared" si="142"/>
        <v>4.2731573077399699E-6</v>
      </c>
      <c r="T127" s="340">
        <f t="shared" si="147"/>
        <v>0</v>
      </c>
      <c r="U127" s="338"/>
      <c r="V127" s="28">
        <f t="shared" si="148"/>
        <v>0</v>
      </c>
      <c r="W127" s="450"/>
      <c r="X127" s="21">
        <v>12</v>
      </c>
      <c r="Y127" s="246" t="s">
        <v>188</v>
      </c>
      <c r="Z127" s="179" t="s">
        <v>162</v>
      </c>
      <c r="AA127" s="312">
        <f t="shared" si="160"/>
        <v>5.9824202308359581E-5</v>
      </c>
      <c r="AB127" s="216">
        <f t="shared" si="155"/>
        <v>14</v>
      </c>
      <c r="AC127" s="217">
        <v>1</v>
      </c>
      <c r="AD127" s="223">
        <f t="shared" si="144"/>
        <v>4.2731573077399699E-6</v>
      </c>
      <c r="AE127" s="340">
        <v>0</v>
      </c>
      <c r="AF127" s="338"/>
      <c r="AG127" s="28">
        <f t="shared" si="149"/>
        <v>0</v>
      </c>
      <c r="AH127" s="450"/>
      <c r="AI127" s="294">
        <f t="shared" si="150"/>
        <v>1</v>
      </c>
      <c r="AJ127" s="126">
        <v>340</v>
      </c>
      <c r="AK127" s="368">
        <f t="shared" si="151"/>
        <v>0</v>
      </c>
      <c r="AM127" s="134">
        <f t="shared" si="152"/>
        <v>0</v>
      </c>
    </row>
    <row r="128" spans="1:40" ht="39">
      <c r="A128" s="21">
        <v>10</v>
      </c>
      <c r="B128" s="228" t="s">
        <v>129</v>
      </c>
      <c r="C128" s="179" t="s">
        <v>162</v>
      </c>
      <c r="D128" s="312">
        <f t="shared" si="158"/>
        <v>0.73701280665245128</v>
      </c>
      <c r="E128" s="216">
        <f t="shared" si="153"/>
        <v>172475</v>
      </c>
      <c r="F128" s="217">
        <v>1</v>
      </c>
      <c r="G128" s="223">
        <f t="shared" si="157"/>
        <v>4.2731573077399699E-6</v>
      </c>
      <c r="H128" s="355">
        <f t="shared" si="145"/>
        <v>20000</v>
      </c>
      <c r="I128" s="302"/>
      <c r="J128" s="214">
        <f t="shared" si="146"/>
        <v>8.5463146154799399E-2</v>
      </c>
      <c r="K128" s="177"/>
      <c r="L128" s="497"/>
      <c r="M128" s="21">
        <v>10</v>
      </c>
      <c r="N128" s="244" t="s">
        <v>129</v>
      </c>
      <c r="O128" s="179" t="s">
        <v>162</v>
      </c>
      <c r="P128" s="312">
        <f t="shared" si="159"/>
        <v>0.26292736914524034</v>
      </c>
      <c r="Q128" s="216">
        <f t="shared" si="154"/>
        <v>61530</v>
      </c>
      <c r="R128" s="217">
        <v>1</v>
      </c>
      <c r="S128" s="223">
        <f t="shared" si="142"/>
        <v>4.2731573077399699E-6</v>
      </c>
      <c r="T128" s="340">
        <f t="shared" si="147"/>
        <v>20000</v>
      </c>
      <c r="U128" s="338"/>
      <c r="V128" s="28">
        <f t="shared" si="148"/>
        <v>8.5463146154799399E-2</v>
      </c>
      <c r="W128" s="450"/>
      <c r="X128" s="21">
        <v>10</v>
      </c>
      <c r="Y128" s="244" t="s">
        <v>129</v>
      </c>
      <c r="Z128" s="179" t="s">
        <v>162</v>
      </c>
      <c r="AA128" s="312">
        <f t="shared" si="160"/>
        <v>5.9824202308359581E-5</v>
      </c>
      <c r="AB128" s="216">
        <f t="shared" si="155"/>
        <v>14</v>
      </c>
      <c r="AC128" s="217">
        <v>1</v>
      </c>
      <c r="AD128" s="223">
        <f t="shared" si="144"/>
        <v>4.2731573077399699E-6</v>
      </c>
      <c r="AE128" s="340">
        <v>20000</v>
      </c>
      <c r="AF128" s="338"/>
      <c r="AG128" s="28">
        <f t="shared" si="149"/>
        <v>8.5463146154799399E-2</v>
      </c>
      <c r="AH128" s="450"/>
      <c r="AI128" s="294">
        <f t="shared" si="150"/>
        <v>1</v>
      </c>
      <c r="AJ128" s="126">
        <v>226</v>
      </c>
      <c r="AK128" s="368">
        <f t="shared" si="151"/>
        <v>20000</v>
      </c>
      <c r="AL128" s="382">
        <v>20000</v>
      </c>
      <c r="AM128" s="134">
        <f t="shared" si="152"/>
        <v>0</v>
      </c>
    </row>
    <row r="129" spans="1:41" ht="39">
      <c r="A129" s="21">
        <v>11</v>
      </c>
      <c r="B129" s="228" t="s">
        <v>130</v>
      </c>
      <c r="C129" s="179" t="s">
        <v>162</v>
      </c>
      <c r="D129" s="312">
        <f t="shared" si="158"/>
        <v>0.73701280665245128</v>
      </c>
      <c r="E129" s="216">
        <f t="shared" si="153"/>
        <v>172475</v>
      </c>
      <c r="F129" s="217">
        <v>1</v>
      </c>
      <c r="G129" s="223">
        <f t="shared" ref="G129:G130" si="162">D129*F129/E129</f>
        <v>4.2731573077399699E-6</v>
      </c>
      <c r="H129" s="355">
        <f t="shared" si="145"/>
        <v>310000</v>
      </c>
      <c r="I129" s="302"/>
      <c r="J129" s="214">
        <f t="shared" si="146"/>
        <v>1.3246787653993908</v>
      </c>
      <c r="K129" s="177"/>
      <c r="L129" s="497"/>
      <c r="M129" s="21">
        <v>11</v>
      </c>
      <c r="N129" s="244" t="s">
        <v>130</v>
      </c>
      <c r="O129" s="179" t="s">
        <v>162</v>
      </c>
      <c r="P129" s="312">
        <f t="shared" si="159"/>
        <v>0.26292736914524034</v>
      </c>
      <c r="Q129" s="216">
        <f t="shared" si="154"/>
        <v>61530</v>
      </c>
      <c r="R129" s="217">
        <v>1</v>
      </c>
      <c r="S129" s="223">
        <f t="shared" si="142"/>
        <v>4.2731573077399699E-6</v>
      </c>
      <c r="T129" s="340">
        <f t="shared" si="147"/>
        <v>310000</v>
      </c>
      <c r="U129" s="338"/>
      <c r="V129" s="28">
        <f t="shared" si="148"/>
        <v>1.3246787653993908</v>
      </c>
      <c r="W129" s="450"/>
      <c r="X129" s="21">
        <v>11</v>
      </c>
      <c r="Y129" s="244" t="s">
        <v>130</v>
      </c>
      <c r="Z129" s="179" t="s">
        <v>162</v>
      </c>
      <c r="AA129" s="312">
        <f t="shared" si="160"/>
        <v>5.9824202308359581E-5</v>
      </c>
      <c r="AB129" s="216">
        <f t="shared" si="155"/>
        <v>14</v>
      </c>
      <c r="AC129" s="217">
        <v>1</v>
      </c>
      <c r="AD129" s="223">
        <f t="shared" si="144"/>
        <v>4.2731573077399699E-6</v>
      </c>
      <c r="AE129" s="340">
        <v>310000</v>
      </c>
      <c r="AF129" s="338"/>
      <c r="AG129" s="28">
        <f t="shared" si="149"/>
        <v>1.3246787653993908</v>
      </c>
      <c r="AH129" s="450"/>
      <c r="AI129" s="294">
        <f t="shared" si="150"/>
        <v>1</v>
      </c>
      <c r="AJ129" s="379">
        <v>340</v>
      </c>
      <c r="AK129" s="368">
        <f t="shared" si="151"/>
        <v>310000</v>
      </c>
      <c r="AL129" s="134">
        <v>310000</v>
      </c>
      <c r="AM129" s="134">
        <f t="shared" si="152"/>
        <v>0</v>
      </c>
    </row>
    <row r="130" spans="1:41" ht="41.25" customHeight="1">
      <c r="A130" s="21">
        <v>12</v>
      </c>
      <c r="B130" s="228" t="s">
        <v>181</v>
      </c>
      <c r="C130" s="179" t="s">
        <v>162</v>
      </c>
      <c r="D130" s="312">
        <f t="shared" si="158"/>
        <v>0.73701280665245128</v>
      </c>
      <c r="E130" s="216">
        <f t="shared" si="153"/>
        <v>172475</v>
      </c>
      <c r="F130" s="217">
        <v>1</v>
      </c>
      <c r="G130" s="223">
        <f t="shared" si="162"/>
        <v>4.2731573077399699E-6</v>
      </c>
      <c r="H130" s="355">
        <f t="shared" si="145"/>
        <v>0</v>
      </c>
      <c r="I130" s="302"/>
      <c r="J130" s="214">
        <f t="shared" si="146"/>
        <v>0</v>
      </c>
      <c r="K130" s="177"/>
      <c r="L130" s="497"/>
      <c r="M130" s="21">
        <v>12</v>
      </c>
      <c r="N130" s="244" t="s">
        <v>181</v>
      </c>
      <c r="O130" s="179" t="s">
        <v>162</v>
      </c>
      <c r="P130" s="312">
        <f t="shared" si="159"/>
        <v>0.26292736914524034</v>
      </c>
      <c r="Q130" s="216">
        <f t="shared" si="154"/>
        <v>61530</v>
      </c>
      <c r="R130" s="217">
        <v>1</v>
      </c>
      <c r="S130" s="223">
        <f t="shared" si="142"/>
        <v>4.2731573077399699E-6</v>
      </c>
      <c r="T130" s="340">
        <f t="shared" si="147"/>
        <v>0</v>
      </c>
      <c r="U130" s="338"/>
      <c r="V130" s="28">
        <f t="shared" si="148"/>
        <v>0</v>
      </c>
      <c r="W130" s="450"/>
      <c r="X130" s="21">
        <v>12</v>
      </c>
      <c r="Y130" s="244" t="s">
        <v>246</v>
      </c>
      <c r="Z130" s="179" t="s">
        <v>162</v>
      </c>
      <c r="AA130" s="312">
        <f t="shared" si="160"/>
        <v>5.9824202308359581E-5</v>
      </c>
      <c r="AB130" s="216">
        <f t="shared" si="155"/>
        <v>14</v>
      </c>
      <c r="AC130" s="217">
        <v>1</v>
      </c>
      <c r="AD130" s="223">
        <f t="shared" si="144"/>
        <v>4.2731573077399699E-6</v>
      </c>
      <c r="AE130" s="340">
        <v>0</v>
      </c>
      <c r="AF130" s="338"/>
      <c r="AG130" s="28">
        <f t="shared" si="149"/>
        <v>0</v>
      </c>
      <c r="AH130" s="450"/>
      <c r="AI130" s="294">
        <f t="shared" si="150"/>
        <v>1</v>
      </c>
      <c r="AJ130" s="379">
        <v>340</v>
      </c>
      <c r="AK130" s="368">
        <f t="shared" si="151"/>
        <v>0</v>
      </c>
      <c r="AL130" s="134">
        <v>0</v>
      </c>
      <c r="AM130" s="134">
        <f t="shared" si="152"/>
        <v>0</v>
      </c>
    </row>
    <row r="131" spans="1:41" ht="39">
      <c r="A131" s="21">
        <v>13</v>
      </c>
      <c r="B131" s="228" t="s">
        <v>189</v>
      </c>
      <c r="C131" s="179" t="s">
        <v>190</v>
      </c>
      <c r="D131" s="312">
        <f t="shared" si="158"/>
        <v>0.73701280665245128</v>
      </c>
      <c r="E131" s="216">
        <f t="shared" si="153"/>
        <v>172475</v>
      </c>
      <c r="F131" s="217">
        <v>1</v>
      </c>
      <c r="G131" s="223">
        <f t="shared" si="157"/>
        <v>4.2731573077399699E-6</v>
      </c>
      <c r="H131" s="355">
        <f t="shared" si="145"/>
        <v>100000</v>
      </c>
      <c r="I131" s="302"/>
      <c r="J131" s="214">
        <f t="shared" si="146"/>
        <v>0.42731573077399698</v>
      </c>
      <c r="K131" s="177"/>
      <c r="L131" s="497"/>
      <c r="M131" s="21">
        <v>13</v>
      </c>
      <c r="N131" s="244" t="s">
        <v>189</v>
      </c>
      <c r="O131" s="179" t="s">
        <v>162</v>
      </c>
      <c r="P131" s="312">
        <f t="shared" si="159"/>
        <v>0.26292736914524034</v>
      </c>
      <c r="Q131" s="216">
        <f t="shared" si="154"/>
        <v>61530</v>
      </c>
      <c r="R131" s="217">
        <v>1</v>
      </c>
      <c r="S131" s="223">
        <f t="shared" si="142"/>
        <v>4.2731573077399699E-6</v>
      </c>
      <c r="T131" s="340">
        <f t="shared" si="147"/>
        <v>100000</v>
      </c>
      <c r="U131" s="338"/>
      <c r="V131" s="28">
        <f t="shared" si="148"/>
        <v>0.42731573077399698</v>
      </c>
      <c r="W131" s="450"/>
      <c r="X131" s="21">
        <v>13</v>
      </c>
      <c r="Y131" s="244" t="s">
        <v>189</v>
      </c>
      <c r="Z131" s="179" t="s">
        <v>162</v>
      </c>
      <c r="AA131" s="312">
        <f t="shared" si="160"/>
        <v>5.9824202308359581E-5</v>
      </c>
      <c r="AB131" s="216">
        <f t="shared" si="155"/>
        <v>14</v>
      </c>
      <c r="AC131" s="217">
        <v>1</v>
      </c>
      <c r="AD131" s="223">
        <f t="shared" si="144"/>
        <v>4.2731573077399699E-6</v>
      </c>
      <c r="AE131" s="340">
        <v>100000</v>
      </c>
      <c r="AF131" s="338"/>
      <c r="AG131" s="28">
        <f t="shared" si="149"/>
        <v>0.42731573077399698</v>
      </c>
      <c r="AH131" s="450"/>
      <c r="AI131" s="294">
        <f t="shared" si="150"/>
        <v>1</v>
      </c>
      <c r="AJ131" s="379">
        <v>340</v>
      </c>
      <c r="AK131" s="368">
        <f t="shared" si="151"/>
        <v>100000</v>
      </c>
      <c r="AL131" s="134">
        <v>100000</v>
      </c>
      <c r="AM131" s="134">
        <f t="shared" si="152"/>
        <v>0</v>
      </c>
    </row>
    <row r="132" spans="1:41" ht="45">
      <c r="A132" s="21">
        <v>14</v>
      </c>
      <c r="B132" s="230" t="str">
        <f>N132</f>
        <v>Организация военно-полевых сборов</v>
      </c>
      <c r="C132" s="326" t="str">
        <f>O132</f>
        <v>договор (сумма в год)</v>
      </c>
      <c r="D132" s="312">
        <f t="shared" si="158"/>
        <v>0.73701280665245128</v>
      </c>
      <c r="E132" s="216">
        <f t="shared" si="153"/>
        <v>172475</v>
      </c>
      <c r="F132" s="217">
        <v>1</v>
      </c>
      <c r="G132" s="223">
        <f t="shared" ref="G132" si="163">D132*F132/E132</f>
        <v>4.2731573077399699E-6</v>
      </c>
      <c r="H132" s="355">
        <f t="shared" ref="H132" si="164">T132</f>
        <v>0</v>
      </c>
      <c r="I132" s="302"/>
      <c r="J132" s="214">
        <f t="shared" ref="J132" si="165">G132*H132</f>
        <v>0</v>
      </c>
      <c r="K132" s="177"/>
      <c r="L132" s="497"/>
      <c r="M132" s="21">
        <v>14</v>
      </c>
      <c r="N132" s="246" t="str">
        <f>Y132</f>
        <v>Организация военно-полевых сборов</v>
      </c>
      <c r="O132" s="326" t="str">
        <f>Z132</f>
        <v>договор (сумма в год)</v>
      </c>
      <c r="P132" s="312">
        <f t="shared" si="159"/>
        <v>0.26292736914524034</v>
      </c>
      <c r="Q132" s="216">
        <f t="shared" si="154"/>
        <v>61530</v>
      </c>
      <c r="R132" s="217">
        <v>1</v>
      </c>
      <c r="S132" s="223">
        <f t="shared" ref="S132" si="166">P132*R132/Q132</f>
        <v>4.2731573077399699E-6</v>
      </c>
      <c r="T132" s="340">
        <f t="shared" si="147"/>
        <v>0</v>
      </c>
      <c r="U132" s="338"/>
      <c r="V132" s="28">
        <f t="shared" ref="V132" si="167">S132*T132</f>
        <v>0</v>
      </c>
      <c r="W132" s="450"/>
      <c r="X132" s="21">
        <v>14</v>
      </c>
      <c r="Y132" s="246" t="s">
        <v>206</v>
      </c>
      <c r="Z132" s="183" t="s">
        <v>162</v>
      </c>
      <c r="AA132" s="312">
        <f t="shared" si="160"/>
        <v>5.9824202308359581E-5</v>
      </c>
      <c r="AB132" s="216">
        <f t="shared" si="155"/>
        <v>14</v>
      </c>
      <c r="AC132" s="217">
        <v>1</v>
      </c>
      <c r="AD132" s="223">
        <f t="shared" ref="AD132" si="168">AA132*AC132/AB132</f>
        <v>4.2731573077399699E-6</v>
      </c>
      <c r="AE132" s="340">
        <v>0</v>
      </c>
      <c r="AF132" s="338"/>
      <c r="AG132" s="28">
        <f t="shared" ref="AG132" si="169">AD132*AE132</f>
        <v>0</v>
      </c>
      <c r="AH132" s="450"/>
      <c r="AI132" s="294">
        <f t="shared" si="150"/>
        <v>1</v>
      </c>
      <c r="AJ132" s="379">
        <v>340</v>
      </c>
      <c r="AK132" s="368">
        <f t="shared" si="151"/>
        <v>0</v>
      </c>
      <c r="AL132" s="134">
        <v>0</v>
      </c>
      <c r="AM132" s="134">
        <f t="shared" si="152"/>
        <v>0</v>
      </c>
    </row>
    <row r="133" spans="1:41" ht="30">
      <c r="A133" s="21">
        <v>15</v>
      </c>
      <c r="B133" s="230" t="s">
        <v>191</v>
      </c>
      <c r="C133" s="179" t="s">
        <v>190</v>
      </c>
      <c r="D133" s="312">
        <f t="shared" si="158"/>
        <v>0.73701280665245128</v>
      </c>
      <c r="E133" s="216">
        <f>E132</f>
        <v>172475</v>
      </c>
      <c r="F133" s="217">
        <v>1</v>
      </c>
      <c r="G133" s="223">
        <f t="shared" ref="G133:G135" si="170">D133*F133/E133</f>
        <v>4.2731573077399699E-6</v>
      </c>
      <c r="H133" s="355">
        <f t="shared" si="145"/>
        <v>60000</v>
      </c>
      <c r="I133" s="302"/>
      <c r="J133" s="214">
        <f t="shared" si="146"/>
        <v>0.25638943846439821</v>
      </c>
      <c r="K133" s="177"/>
      <c r="L133" s="497"/>
      <c r="M133" s="21">
        <v>15</v>
      </c>
      <c r="N133" s="246" t="s">
        <v>191</v>
      </c>
      <c r="O133" s="179" t="s">
        <v>190</v>
      </c>
      <c r="P133" s="312">
        <f t="shared" si="159"/>
        <v>0.26292736914524034</v>
      </c>
      <c r="Q133" s="216">
        <f>Q132</f>
        <v>61530</v>
      </c>
      <c r="R133" s="217">
        <v>1</v>
      </c>
      <c r="S133" s="223">
        <f t="shared" si="142"/>
        <v>4.2731573077399699E-6</v>
      </c>
      <c r="T133" s="340">
        <f t="shared" si="147"/>
        <v>60000</v>
      </c>
      <c r="U133" s="338"/>
      <c r="V133" s="28">
        <f t="shared" si="148"/>
        <v>0.25638943846439821</v>
      </c>
      <c r="W133" s="450"/>
      <c r="X133" s="21">
        <v>15</v>
      </c>
      <c r="Y133" s="246" t="s">
        <v>244</v>
      </c>
      <c r="Z133" s="179" t="s">
        <v>190</v>
      </c>
      <c r="AA133" s="312">
        <f t="shared" si="160"/>
        <v>5.9824202308359581E-5</v>
      </c>
      <c r="AB133" s="216">
        <f>AB131</f>
        <v>14</v>
      </c>
      <c r="AC133" s="217">
        <v>1</v>
      </c>
      <c r="AD133" s="223">
        <f t="shared" si="144"/>
        <v>4.2731573077399699E-6</v>
      </c>
      <c r="AE133" s="340">
        <v>60000</v>
      </c>
      <c r="AF133" s="338"/>
      <c r="AG133" s="28">
        <f t="shared" si="149"/>
        <v>0.25638943846439821</v>
      </c>
      <c r="AH133" s="450"/>
      <c r="AI133" s="294">
        <f t="shared" si="150"/>
        <v>1</v>
      </c>
      <c r="AJ133" s="379">
        <v>340</v>
      </c>
      <c r="AK133" s="368">
        <f t="shared" si="151"/>
        <v>60000.000000000007</v>
      </c>
      <c r="AL133" s="134">
        <v>60000</v>
      </c>
      <c r="AM133" s="134">
        <f t="shared" si="152"/>
        <v>0</v>
      </c>
    </row>
    <row r="134" spans="1:41" ht="39">
      <c r="A134" s="21">
        <v>16</v>
      </c>
      <c r="B134" s="230" t="s">
        <v>192</v>
      </c>
      <c r="C134" s="179" t="s">
        <v>162</v>
      </c>
      <c r="D134" s="312">
        <f t="shared" si="158"/>
        <v>0.73701280665245128</v>
      </c>
      <c r="E134" s="216">
        <f t="shared" si="153"/>
        <v>172475</v>
      </c>
      <c r="F134" s="217">
        <v>1</v>
      </c>
      <c r="G134" s="223">
        <f t="shared" si="170"/>
        <v>4.2731573077399699E-6</v>
      </c>
      <c r="H134" s="355">
        <f t="shared" si="145"/>
        <v>1000</v>
      </c>
      <c r="I134" s="352"/>
      <c r="J134" s="214">
        <f t="shared" si="146"/>
        <v>4.2731573077399703E-3</v>
      </c>
      <c r="K134" s="177"/>
      <c r="L134" s="497"/>
      <c r="M134" s="21">
        <v>16</v>
      </c>
      <c r="N134" s="246" t="s">
        <v>192</v>
      </c>
      <c r="O134" s="179" t="s">
        <v>162</v>
      </c>
      <c r="P134" s="312">
        <f t="shared" si="159"/>
        <v>0.26292736914524034</v>
      </c>
      <c r="Q134" s="216">
        <f t="shared" si="154"/>
        <v>61530</v>
      </c>
      <c r="R134" s="217">
        <v>1</v>
      </c>
      <c r="S134" s="223">
        <f t="shared" si="142"/>
        <v>4.2731573077399699E-6</v>
      </c>
      <c r="T134" s="340">
        <f t="shared" si="147"/>
        <v>1000</v>
      </c>
      <c r="U134" s="351"/>
      <c r="V134" s="28">
        <f t="shared" si="148"/>
        <v>4.2731573077399703E-3</v>
      </c>
      <c r="W134" s="450"/>
      <c r="X134" s="21">
        <v>16</v>
      </c>
      <c r="Y134" s="246" t="s">
        <v>192</v>
      </c>
      <c r="Z134" s="179" t="s">
        <v>162</v>
      </c>
      <c r="AA134" s="312">
        <f t="shared" si="160"/>
        <v>5.9824202308359581E-5</v>
      </c>
      <c r="AB134" s="216">
        <f t="shared" si="155"/>
        <v>14</v>
      </c>
      <c r="AC134" s="217">
        <v>1</v>
      </c>
      <c r="AD134" s="223">
        <f t="shared" si="144"/>
        <v>4.2731573077399699E-6</v>
      </c>
      <c r="AE134" s="342">
        <v>1000</v>
      </c>
      <c r="AF134" s="351"/>
      <c r="AG134" s="28">
        <f t="shared" si="149"/>
        <v>4.2731573077399703E-3</v>
      </c>
      <c r="AH134" s="450"/>
      <c r="AI134" s="294">
        <f t="shared" si="150"/>
        <v>1</v>
      </c>
      <c r="AJ134" s="381">
        <v>226</v>
      </c>
      <c r="AK134" s="368">
        <f t="shared" si="151"/>
        <v>1000.0000000000001</v>
      </c>
      <c r="AL134" s="382">
        <v>1000</v>
      </c>
      <c r="AM134" s="134">
        <f t="shared" si="152"/>
        <v>0</v>
      </c>
    </row>
    <row r="135" spans="1:41" ht="39">
      <c r="A135" s="21">
        <v>17</v>
      </c>
      <c r="B135" s="230" t="s">
        <v>193</v>
      </c>
      <c r="C135" s="179" t="s">
        <v>162</v>
      </c>
      <c r="D135" s="312">
        <f t="shared" si="158"/>
        <v>0.73701280665245128</v>
      </c>
      <c r="E135" s="216">
        <f t="shared" si="153"/>
        <v>172475</v>
      </c>
      <c r="F135" s="224">
        <v>1</v>
      </c>
      <c r="G135" s="231">
        <f t="shared" si="170"/>
        <v>4.2731573077399699E-6</v>
      </c>
      <c r="H135" s="355">
        <f t="shared" si="145"/>
        <v>0</v>
      </c>
      <c r="I135" s="352"/>
      <c r="J135" s="214">
        <f t="shared" si="146"/>
        <v>0</v>
      </c>
      <c r="K135" s="177"/>
      <c r="L135" s="497"/>
      <c r="M135" s="21">
        <v>17</v>
      </c>
      <c r="N135" s="246" t="s">
        <v>193</v>
      </c>
      <c r="O135" s="179" t="s">
        <v>162</v>
      </c>
      <c r="P135" s="312">
        <f t="shared" si="159"/>
        <v>0.26292736914524034</v>
      </c>
      <c r="Q135" s="216">
        <f t="shared" si="154"/>
        <v>61530</v>
      </c>
      <c r="R135" s="224">
        <v>1</v>
      </c>
      <c r="S135" s="231">
        <f t="shared" si="142"/>
        <v>4.2731573077399699E-6</v>
      </c>
      <c r="T135" s="340">
        <f t="shared" si="147"/>
        <v>0</v>
      </c>
      <c r="U135" s="351"/>
      <c r="V135" s="28">
        <f t="shared" si="148"/>
        <v>0</v>
      </c>
      <c r="W135" s="450"/>
      <c r="X135" s="21">
        <v>17</v>
      </c>
      <c r="Y135" s="246" t="s">
        <v>193</v>
      </c>
      <c r="Z135" s="179" t="s">
        <v>162</v>
      </c>
      <c r="AA135" s="312">
        <f t="shared" si="160"/>
        <v>5.9824202308359581E-5</v>
      </c>
      <c r="AB135" s="216">
        <f t="shared" si="155"/>
        <v>14</v>
      </c>
      <c r="AC135" s="224">
        <v>1</v>
      </c>
      <c r="AD135" s="231">
        <f t="shared" si="144"/>
        <v>4.2731573077399699E-6</v>
      </c>
      <c r="AE135" s="342">
        <v>0</v>
      </c>
      <c r="AF135" s="351"/>
      <c r="AG135" s="28">
        <f t="shared" si="149"/>
        <v>0</v>
      </c>
      <c r="AH135" s="450"/>
      <c r="AI135" s="294">
        <f t="shared" si="150"/>
        <v>1</v>
      </c>
      <c r="AJ135" s="381">
        <v>226</v>
      </c>
      <c r="AK135" s="368">
        <f t="shared" si="151"/>
        <v>0</v>
      </c>
      <c r="AL135" s="382">
        <v>0</v>
      </c>
      <c r="AM135" s="134">
        <f t="shared" si="152"/>
        <v>0</v>
      </c>
    </row>
    <row r="136" spans="1:41" ht="45">
      <c r="A136" s="21">
        <v>18</v>
      </c>
      <c r="B136" s="230" t="s">
        <v>194</v>
      </c>
      <c r="C136" s="179" t="s">
        <v>162</v>
      </c>
      <c r="D136" s="312">
        <f t="shared" si="158"/>
        <v>0.73701280665245128</v>
      </c>
      <c r="E136" s="216">
        <f t="shared" si="153"/>
        <v>172475</v>
      </c>
      <c r="F136" s="224">
        <v>1</v>
      </c>
      <c r="G136" s="231">
        <f t="shared" ref="G136" si="171">D136*F136/E136</f>
        <v>4.2731573077399699E-6</v>
      </c>
      <c r="H136" s="355">
        <f t="shared" si="145"/>
        <v>46000</v>
      </c>
      <c r="I136" s="352"/>
      <c r="J136" s="214">
        <f t="shared" si="146"/>
        <v>0.19656523615603863</v>
      </c>
      <c r="K136" s="177"/>
      <c r="L136" s="497"/>
      <c r="M136" s="21">
        <v>18</v>
      </c>
      <c r="N136" s="246" t="s">
        <v>194</v>
      </c>
      <c r="O136" s="179" t="s">
        <v>162</v>
      </c>
      <c r="P136" s="312">
        <f t="shared" si="159"/>
        <v>0.26292736914524034</v>
      </c>
      <c r="Q136" s="216">
        <f t="shared" si="154"/>
        <v>61530</v>
      </c>
      <c r="R136" s="224">
        <v>1</v>
      </c>
      <c r="S136" s="231">
        <f t="shared" si="142"/>
        <v>4.2731573077399699E-6</v>
      </c>
      <c r="T136" s="340">
        <f t="shared" si="147"/>
        <v>46000</v>
      </c>
      <c r="U136" s="351"/>
      <c r="V136" s="28">
        <f t="shared" si="148"/>
        <v>0.19656523615603863</v>
      </c>
      <c r="W136" s="450"/>
      <c r="X136" s="21">
        <v>18</v>
      </c>
      <c r="Y136" s="246" t="s">
        <v>194</v>
      </c>
      <c r="Z136" s="179" t="s">
        <v>162</v>
      </c>
      <c r="AA136" s="312">
        <f t="shared" si="160"/>
        <v>5.9824202308359581E-5</v>
      </c>
      <c r="AB136" s="216">
        <f t="shared" si="155"/>
        <v>14</v>
      </c>
      <c r="AC136" s="224">
        <v>1</v>
      </c>
      <c r="AD136" s="231">
        <f t="shared" si="144"/>
        <v>4.2731573077399699E-6</v>
      </c>
      <c r="AE136" s="342">
        <v>46000</v>
      </c>
      <c r="AF136" s="351"/>
      <c r="AG136" s="28">
        <f t="shared" si="149"/>
        <v>0.19656523615603863</v>
      </c>
      <c r="AH136" s="450"/>
      <c r="AI136" s="294">
        <f t="shared" si="150"/>
        <v>1</v>
      </c>
      <c r="AJ136" s="381">
        <v>226</v>
      </c>
      <c r="AK136" s="368">
        <f t="shared" si="151"/>
        <v>46000.000000000007</v>
      </c>
      <c r="AL136" s="382">
        <v>46000</v>
      </c>
      <c r="AM136" s="134">
        <f t="shared" si="152"/>
        <v>0</v>
      </c>
    </row>
    <row r="137" spans="1:41" ht="39" customHeight="1">
      <c r="A137" s="21">
        <v>19</v>
      </c>
      <c r="B137" s="230" t="s">
        <v>195</v>
      </c>
      <c r="C137" s="179" t="s">
        <v>162</v>
      </c>
      <c r="D137" s="312">
        <f t="shared" si="158"/>
        <v>0.73701280665245128</v>
      </c>
      <c r="E137" s="216">
        <f t="shared" si="153"/>
        <v>172475</v>
      </c>
      <c r="F137" s="224">
        <v>1</v>
      </c>
      <c r="G137" s="231">
        <f t="shared" ref="G137" si="172">D137*F137/E137</f>
        <v>4.2731573077399699E-6</v>
      </c>
      <c r="H137" s="355">
        <f t="shared" si="145"/>
        <v>40327.4</v>
      </c>
      <c r="I137" s="352"/>
      <c r="J137" s="214">
        <f t="shared" si="146"/>
        <v>0.17232532401215286</v>
      </c>
      <c r="K137" s="177"/>
      <c r="L137" s="497"/>
      <c r="M137" s="21">
        <v>19</v>
      </c>
      <c r="N137" s="246" t="s">
        <v>195</v>
      </c>
      <c r="O137" s="179" t="s">
        <v>162</v>
      </c>
      <c r="P137" s="312">
        <f t="shared" si="159"/>
        <v>0.26292736914524034</v>
      </c>
      <c r="Q137" s="216">
        <f t="shared" si="154"/>
        <v>61530</v>
      </c>
      <c r="R137" s="224">
        <v>1</v>
      </c>
      <c r="S137" s="231">
        <f t="shared" si="142"/>
        <v>4.2731573077399699E-6</v>
      </c>
      <c r="T137" s="340">
        <f t="shared" si="147"/>
        <v>40327.4</v>
      </c>
      <c r="U137" s="351"/>
      <c r="V137" s="28">
        <f t="shared" si="148"/>
        <v>0.17232532401215286</v>
      </c>
      <c r="W137" s="450"/>
      <c r="X137" s="21">
        <v>19</v>
      </c>
      <c r="Y137" s="246" t="s">
        <v>195</v>
      </c>
      <c r="Z137" s="179" t="s">
        <v>162</v>
      </c>
      <c r="AA137" s="312">
        <f t="shared" si="160"/>
        <v>5.9824202308359581E-5</v>
      </c>
      <c r="AB137" s="216">
        <f t="shared" si="155"/>
        <v>14</v>
      </c>
      <c r="AC137" s="224">
        <v>1</v>
      </c>
      <c r="AD137" s="231">
        <f t="shared" si="144"/>
        <v>4.2731573077399699E-6</v>
      </c>
      <c r="AE137" s="342">
        <v>40327.4</v>
      </c>
      <c r="AF137" s="351"/>
      <c r="AG137" s="28">
        <f t="shared" si="149"/>
        <v>0.17232532401215286</v>
      </c>
      <c r="AH137" s="450"/>
      <c r="AI137" s="294">
        <f t="shared" si="150"/>
        <v>1</v>
      </c>
      <c r="AJ137" s="381">
        <v>226</v>
      </c>
      <c r="AK137" s="368">
        <f t="shared" si="151"/>
        <v>40327.4</v>
      </c>
      <c r="AL137" s="382">
        <v>40327.4</v>
      </c>
      <c r="AM137" s="134">
        <f t="shared" si="152"/>
        <v>0</v>
      </c>
    </row>
    <row r="138" spans="1:41" ht="39">
      <c r="A138" s="21">
        <v>20</v>
      </c>
      <c r="B138" s="230" t="str">
        <f>N138</f>
        <v>Испытания диэлектрических бот</v>
      </c>
      <c r="C138" s="179" t="s">
        <v>162</v>
      </c>
      <c r="D138" s="312">
        <f t="shared" si="158"/>
        <v>0.73701280665245128</v>
      </c>
      <c r="E138" s="216">
        <f t="shared" si="153"/>
        <v>172475</v>
      </c>
      <c r="F138" s="224">
        <v>1</v>
      </c>
      <c r="G138" s="231">
        <f t="shared" ref="G138" si="173">D138*F138/E138</f>
        <v>4.2731573077399699E-6</v>
      </c>
      <c r="H138" s="355">
        <f t="shared" si="145"/>
        <v>4262.3999999999996</v>
      </c>
      <c r="I138" s="352"/>
      <c r="J138" s="214">
        <f t="shared" si="146"/>
        <v>1.8213905708510846E-2</v>
      </c>
      <c r="K138" s="177"/>
      <c r="L138" s="497"/>
      <c r="M138" s="21">
        <v>20</v>
      </c>
      <c r="N138" s="246" t="str">
        <f>Y138</f>
        <v>Испытания диэлектрических бот</v>
      </c>
      <c r="O138" s="179" t="s">
        <v>162</v>
      </c>
      <c r="P138" s="312">
        <f t="shared" si="159"/>
        <v>0.26292736914524034</v>
      </c>
      <c r="Q138" s="216">
        <f t="shared" si="154"/>
        <v>61530</v>
      </c>
      <c r="R138" s="224">
        <v>1</v>
      </c>
      <c r="S138" s="231">
        <f t="shared" si="142"/>
        <v>4.2731573077399699E-6</v>
      </c>
      <c r="T138" s="340">
        <f t="shared" si="147"/>
        <v>4262.3999999999996</v>
      </c>
      <c r="U138" s="351"/>
      <c r="V138" s="28">
        <f t="shared" si="148"/>
        <v>1.8213905708510846E-2</v>
      </c>
      <c r="W138" s="450"/>
      <c r="X138" s="21">
        <v>20</v>
      </c>
      <c r="Y138" s="246" t="s">
        <v>232</v>
      </c>
      <c r="Z138" s="179" t="s">
        <v>162</v>
      </c>
      <c r="AA138" s="312">
        <f t="shared" si="160"/>
        <v>5.9824202308359581E-5</v>
      </c>
      <c r="AB138" s="216">
        <f t="shared" si="155"/>
        <v>14</v>
      </c>
      <c r="AC138" s="224">
        <v>1</v>
      </c>
      <c r="AD138" s="231">
        <f t="shared" si="144"/>
        <v>4.2731573077399699E-6</v>
      </c>
      <c r="AE138" s="342">
        <v>4262.3999999999996</v>
      </c>
      <c r="AF138" s="351"/>
      <c r="AG138" s="28">
        <f t="shared" si="149"/>
        <v>1.8213905708510846E-2</v>
      </c>
      <c r="AH138" s="450"/>
      <c r="AI138" s="294">
        <f t="shared" si="150"/>
        <v>1</v>
      </c>
      <c r="AJ138" s="381">
        <v>226</v>
      </c>
      <c r="AK138" s="368">
        <f t="shared" si="151"/>
        <v>4262.3999999999996</v>
      </c>
      <c r="AL138" s="382">
        <v>4262.3999999999996</v>
      </c>
      <c r="AM138" s="134">
        <f t="shared" si="152"/>
        <v>0</v>
      </c>
    </row>
    <row r="139" spans="1:41" ht="29.25" customHeight="1">
      <c r="A139" s="21">
        <v>21</v>
      </c>
      <c r="B139" s="230" t="s">
        <v>206</v>
      </c>
      <c r="C139" s="179" t="s">
        <v>162</v>
      </c>
      <c r="D139" s="312">
        <f t="shared" si="158"/>
        <v>0.73701280665245128</v>
      </c>
      <c r="E139" s="216">
        <f t="shared" ref="E139:E140" si="174">E138</f>
        <v>172475</v>
      </c>
      <c r="F139" s="224">
        <v>1</v>
      </c>
      <c r="G139" s="231">
        <f t="shared" ref="G139:G140" si="175">D139*F139/E139</f>
        <v>4.2731573077399699E-6</v>
      </c>
      <c r="H139" s="355">
        <f t="shared" si="145"/>
        <v>127200</v>
      </c>
      <c r="I139" s="352"/>
      <c r="J139" s="214">
        <f t="shared" si="146"/>
        <v>0.54354560954452413</v>
      </c>
      <c r="K139" s="177"/>
      <c r="L139" s="497"/>
      <c r="M139" s="21">
        <v>21</v>
      </c>
      <c r="N139" s="246" t="s">
        <v>206</v>
      </c>
      <c r="O139" s="179" t="s">
        <v>162</v>
      </c>
      <c r="P139" s="312">
        <f t="shared" si="159"/>
        <v>0.26292736914524034</v>
      </c>
      <c r="Q139" s="216">
        <f t="shared" ref="Q139" si="176">Q138</f>
        <v>61530</v>
      </c>
      <c r="R139" s="224">
        <v>1</v>
      </c>
      <c r="S139" s="231">
        <f t="shared" ref="S139:S140" si="177">P139*R139/Q139</f>
        <v>4.2731573077399699E-6</v>
      </c>
      <c r="T139" s="340">
        <f t="shared" si="147"/>
        <v>127200</v>
      </c>
      <c r="U139" s="351"/>
      <c r="V139" s="28">
        <f t="shared" si="148"/>
        <v>0.54354560954452413</v>
      </c>
      <c r="W139" s="450"/>
      <c r="X139" s="21">
        <v>21</v>
      </c>
      <c r="Y139" s="246" t="s">
        <v>242</v>
      </c>
      <c r="Z139" s="179" t="s">
        <v>162</v>
      </c>
      <c r="AA139" s="312">
        <f t="shared" si="160"/>
        <v>5.9824202308359581E-5</v>
      </c>
      <c r="AB139" s="216">
        <f t="shared" si="155"/>
        <v>14</v>
      </c>
      <c r="AC139" s="224">
        <v>1</v>
      </c>
      <c r="AD139" s="231">
        <f t="shared" si="144"/>
        <v>4.2731573077399699E-6</v>
      </c>
      <c r="AE139" s="342">
        <v>127200</v>
      </c>
      <c r="AF139" s="351"/>
      <c r="AG139" s="28">
        <f t="shared" si="149"/>
        <v>0.54354560954452413</v>
      </c>
      <c r="AH139" s="450"/>
      <c r="AI139" s="294">
        <f t="shared" si="150"/>
        <v>1</v>
      </c>
      <c r="AJ139" s="379">
        <v>340</v>
      </c>
      <c r="AK139" s="368">
        <f t="shared" si="151"/>
        <v>127200</v>
      </c>
      <c r="AL139" s="345">
        <v>127200</v>
      </c>
      <c r="AM139" s="134">
        <f t="shared" si="152"/>
        <v>0</v>
      </c>
    </row>
    <row r="140" spans="1:41" ht="39">
      <c r="A140" s="21">
        <v>22</v>
      </c>
      <c r="B140" s="230" t="s">
        <v>207</v>
      </c>
      <c r="C140" s="183" t="s">
        <v>162</v>
      </c>
      <c r="D140" s="312">
        <f t="shared" si="158"/>
        <v>0.73701280665245128</v>
      </c>
      <c r="E140" s="216">
        <f t="shared" si="174"/>
        <v>172475</v>
      </c>
      <c r="F140" s="224">
        <v>1</v>
      </c>
      <c r="G140" s="231">
        <f t="shared" si="175"/>
        <v>4.2731573077399699E-6</v>
      </c>
      <c r="H140" s="355">
        <f t="shared" si="145"/>
        <v>65000</v>
      </c>
      <c r="I140" s="352"/>
      <c r="J140" s="214">
        <f t="shared" si="146"/>
        <v>0.27775522500309807</v>
      </c>
      <c r="K140" s="177"/>
      <c r="L140" s="497"/>
      <c r="M140" s="21">
        <v>22</v>
      </c>
      <c r="N140" s="246" t="s">
        <v>207</v>
      </c>
      <c r="O140" s="179" t="s">
        <v>162</v>
      </c>
      <c r="P140" s="312">
        <f t="shared" si="159"/>
        <v>0.26292736914524034</v>
      </c>
      <c r="Q140" s="216">
        <f t="shared" ref="Q140" si="178">Q139</f>
        <v>61530</v>
      </c>
      <c r="R140" s="224">
        <v>1</v>
      </c>
      <c r="S140" s="231">
        <f t="shared" si="177"/>
        <v>4.2731573077399699E-6</v>
      </c>
      <c r="T140" s="340">
        <f t="shared" si="147"/>
        <v>65000</v>
      </c>
      <c r="U140" s="351"/>
      <c r="V140" s="28">
        <f t="shared" si="148"/>
        <v>0.27775522500309807</v>
      </c>
      <c r="W140" s="450"/>
      <c r="X140" s="21">
        <v>22</v>
      </c>
      <c r="Y140" s="246" t="s">
        <v>207</v>
      </c>
      <c r="Z140" s="179" t="s">
        <v>162</v>
      </c>
      <c r="AA140" s="312">
        <f t="shared" si="160"/>
        <v>5.9824202308359581E-5</v>
      </c>
      <c r="AB140" s="216">
        <f t="shared" si="155"/>
        <v>14</v>
      </c>
      <c r="AC140" s="224">
        <v>1</v>
      </c>
      <c r="AD140" s="231">
        <f>AA140*AC140/AB140</f>
        <v>4.2731573077399699E-6</v>
      </c>
      <c r="AE140" s="342">
        <v>65000</v>
      </c>
      <c r="AF140" s="351"/>
      <c r="AG140" s="28">
        <f t="shared" si="149"/>
        <v>0.27775522500309807</v>
      </c>
      <c r="AH140" s="450"/>
      <c r="AI140" s="294">
        <f t="shared" si="150"/>
        <v>1</v>
      </c>
      <c r="AJ140" s="381">
        <v>226</v>
      </c>
      <c r="AK140" s="368">
        <f t="shared" si="151"/>
        <v>65000.000000000007</v>
      </c>
      <c r="AL140" s="382">
        <v>65000</v>
      </c>
      <c r="AM140" s="134">
        <f t="shared" si="152"/>
        <v>0</v>
      </c>
    </row>
    <row r="141" spans="1:41" ht="39" customHeight="1">
      <c r="A141" s="21">
        <v>23</v>
      </c>
      <c r="B141" s="228" t="s">
        <v>114</v>
      </c>
      <c r="C141" s="179" t="s">
        <v>162</v>
      </c>
      <c r="D141" s="312">
        <f t="shared" si="158"/>
        <v>0.73701280665245128</v>
      </c>
      <c r="E141" s="216">
        <f>E138</f>
        <v>172475</v>
      </c>
      <c r="F141" s="217">
        <v>1</v>
      </c>
      <c r="G141" s="223">
        <f t="shared" si="140"/>
        <v>4.2731573077399699E-6</v>
      </c>
      <c r="H141" s="355">
        <f t="shared" si="145"/>
        <v>150000</v>
      </c>
      <c r="I141" s="302"/>
      <c r="J141" s="214">
        <f t="shared" si="146"/>
        <v>0.64097359616099547</v>
      </c>
      <c r="K141" s="185"/>
      <c r="L141" s="497"/>
      <c r="M141" s="21">
        <v>23</v>
      </c>
      <c r="N141" s="244" t="s">
        <v>114</v>
      </c>
      <c r="O141" s="179" t="s">
        <v>162</v>
      </c>
      <c r="P141" s="312">
        <f t="shared" si="159"/>
        <v>0.26292736914524034</v>
      </c>
      <c r="Q141" s="216">
        <f>Q138</f>
        <v>61530</v>
      </c>
      <c r="R141" s="217">
        <v>1</v>
      </c>
      <c r="S141" s="223">
        <f t="shared" si="142"/>
        <v>4.2731573077399699E-6</v>
      </c>
      <c r="T141" s="340">
        <f t="shared" si="147"/>
        <v>150000</v>
      </c>
      <c r="U141" s="338"/>
      <c r="V141" s="28">
        <f t="shared" si="148"/>
        <v>0.64097359616099547</v>
      </c>
      <c r="W141" s="451"/>
      <c r="X141" s="21">
        <v>23</v>
      </c>
      <c r="Y141" s="244" t="s">
        <v>114</v>
      </c>
      <c r="Z141" s="179" t="s">
        <v>162</v>
      </c>
      <c r="AA141" s="312">
        <f t="shared" si="160"/>
        <v>5.9824202308359581E-5</v>
      </c>
      <c r="AB141" s="216">
        <f>AB138</f>
        <v>14</v>
      </c>
      <c r="AC141" s="217">
        <v>1</v>
      </c>
      <c r="AD141" s="223">
        <f t="shared" ref="AD141" si="179">AA141*AC141/AB141</f>
        <v>4.2731573077399699E-6</v>
      </c>
      <c r="AE141" s="340">
        <v>150000</v>
      </c>
      <c r="AF141" s="338"/>
      <c r="AG141" s="28">
        <f t="shared" si="149"/>
        <v>0.64097359616099547</v>
      </c>
      <c r="AH141" s="451"/>
      <c r="AI141" s="294">
        <f t="shared" si="150"/>
        <v>1</v>
      </c>
      <c r="AJ141" s="379">
        <v>340</v>
      </c>
      <c r="AK141" s="368">
        <f t="shared" si="151"/>
        <v>150000</v>
      </c>
      <c r="AL141" s="134">
        <v>150000</v>
      </c>
      <c r="AM141" s="134">
        <f>AL141-AK141</f>
        <v>0</v>
      </c>
    </row>
    <row r="142" spans="1:41">
      <c r="A142" s="488" t="s">
        <v>26</v>
      </c>
      <c r="B142" s="489"/>
      <c r="C142" s="489"/>
      <c r="D142" s="489"/>
      <c r="E142" s="489"/>
      <c r="F142" s="489"/>
      <c r="G142" s="489"/>
      <c r="H142" s="489"/>
      <c r="I142" s="490"/>
      <c r="J142" s="222">
        <f>SUM(J117:J141)</f>
        <v>5.398886586131896</v>
      </c>
      <c r="K142" s="186"/>
      <c r="L142" s="497"/>
      <c r="M142" s="464" t="s">
        <v>26</v>
      </c>
      <c r="N142" s="465"/>
      <c r="O142" s="465"/>
      <c r="P142" s="465"/>
      <c r="Q142" s="465"/>
      <c r="R142" s="465"/>
      <c r="S142" s="465"/>
      <c r="T142" s="465"/>
      <c r="U142" s="466"/>
      <c r="V142" s="30">
        <f>SUM(V117:V141)</f>
        <v>5.398886586131896</v>
      </c>
      <c r="W142" s="8"/>
      <c r="X142" s="464" t="s">
        <v>26</v>
      </c>
      <c r="Y142" s="465"/>
      <c r="Z142" s="465"/>
      <c r="AA142" s="465"/>
      <c r="AB142" s="465"/>
      <c r="AC142" s="465"/>
      <c r="AD142" s="465"/>
      <c r="AE142" s="465"/>
      <c r="AF142" s="466"/>
      <c r="AG142" s="30">
        <f>SUM(AG117:AG141)</f>
        <v>5.398886586131896</v>
      </c>
      <c r="AH142" s="8"/>
      <c r="AI142" s="272"/>
      <c r="AJ142" s="62">
        <f>E141*J142+Q141*V142+AG142*AB141</f>
        <v>1263442.04</v>
      </c>
      <c r="AK142" s="134">
        <f>SUM(AK117:AK141)</f>
        <v>1263442.04</v>
      </c>
      <c r="AL142" s="320">
        <v>340</v>
      </c>
      <c r="AM142" s="383">
        <f>AK77+AJ44+AK117+AK129+AK130+AK131+AK132+AK133+AK139+AK141</f>
        <v>1026060</v>
      </c>
      <c r="AN142" s="361">
        <v>226</v>
      </c>
      <c r="AO142" s="375">
        <f>AL64+AK118+AK119+AK120+AK121+AK122+AK125+AK128+AK134+AK135+AK136+AK137+AK138+AK140</f>
        <v>2250047.54</v>
      </c>
    </row>
    <row r="143" spans="1:41" ht="15" customHeight="1">
      <c r="A143" s="443" t="s">
        <v>103</v>
      </c>
      <c r="B143" s="444"/>
      <c r="C143" s="444"/>
      <c r="D143" s="444"/>
      <c r="E143" s="444"/>
      <c r="F143" s="444"/>
      <c r="G143" s="444"/>
      <c r="H143" s="444"/>
      <c r="I143" s="445"/>
      <c r="J143" s="209">
        <f>J74+J87+J92+J97+J102+J115+J142</f>
        <v>115.93872557009965</v>
      </c>
      <c r="K143" s="247"/>
      <c r="L143" s="497"/>
      <c r="M143" s="443" t="s">
        <v>103</v>
      </c>
      <c r="N143" s="444"/>
      <c r="O143" s="444"/>
      <c r="P143" s="444"/>
      <c r="Q143" s="444"/>
      <c r="R143" s="444"/>
      <c r="S143" s="444"/>
      <c r="T143" s="444"/>
      <c r="U143" s="445"/>
      <c r="V143" s="35">
        <f>V74+V87+V92+V97+V102+V115+V142</f>
        <v>115.93138766504261</v>
      </c>
      <c r="W143" s="7"/>
      <c r="X143" s="443" t="s">
        <v>103</v>
      </c>
      <c r="Y143" s="444"/>
      <c r="Z143" s="444"/>
      <c r="AA143" s="444"/>
      <c r="AB143" s="444"/>
      <c r="AC143" s="444"/>
      <c r="AD143" s="444"/>
      <c r="AE143" s="444"/>
      <c r="AF143" s="445"/>
      <c r="AG143" s="35">
        <f>AG74+AG87+AG92+AG97+AG102+AG115+AG142</f>
        <v>3144.5196762157898</v>
      </c>
      <c r="AH143" s="7"/>
      <c r="AI143" s="7"/>
      <c r="AL143" s="320">
        <v>340</v>
      </c>
      <c r="AM143" s="384">
        <f>AG168</f>
        <v>1026060</v>
      </c>
      <c r="AN143" s="361">
        <v>226</v>
      </c>
      <c r="AO143" s="366">
        <f>AG166</f>
        <v>2250047.54</v>
      </c>
    </row>
    <row r="144" spans="1:41" ht="15" customHeight="1">
      <c r="A144" s="443" t="s">
        <v>104</v>
      </c>
      <c r="B144" s="444"/>
      <c r="C144" s="444"/>
      <c r="D144" s="444"/>
      <c r="E144" s="444"/>
      <c r="F144" s="444"/>
      <c r="G144" s="444"/>
      <c r="H144" s="444"/>
      <c r="I144" s="445"/>
      <c r="J144" s="209">
        <f>J143+J65</f>
        <v>211.01522985579885</v>
      </c>
      <c r="K144" s="247"/>
      <c r="L144" s="497"/>
      <c r="M144" s="443" t="s">
        <v>104</v>
      </c>
      <c r="N144" s="444"/>
      <c r="O144" s="444"/>
      <c r="P144" s="444"/>
      <c r="Q144" s="444"/>
      <c r="R144" s="444"/>
      <c r="S144" s="444"/>
      <c r="T144" s="444"/>
      <c r="U144" s="445"/>
      <c r="V144" s="35">
        <f>V143+V65</f>
        <v>211.2129633884561</v>
      </c>
      <c r="X144" s="443" t="s">
        <v>104</v>
      </c>
      <c r="Y144" s="444"/>
      <c r="Z144" s="444"/>
      <c r="AA144" s="444"/>
      <c r="AB144" s="444"/>
      <c r="AC144" s="444"/>
      <c r="AD144" s="444"/>
      <c r="AE144" s="444"/>
      <c r="AF144" s="445"/>
      <c r="AG144" s="35">
        <f>AG143+AG65</f>
        <v>20668.869523529676</v>
      </c>
      <c r="AK144" s="150"/>
      <c r="AL144" s="150"/>
      <c r="AM144" s="385">
        <f>AM143-AM142</f>
        <v>0</v>
      </c>
      <c r="AN144" s="150"/>
      <c r="AO144" s="14">
        <f>AO143-AO142</f>
        <v>0</v>
      </c>
    </row>
    <row r="145" spans="10:40">
      <c r="J145" s="62"/>
      <c r="K145" s="62"/>
      <c r="V145" s="62"/>
      <c r="AG145" s="62"/>
      <c r="AH145" s="62">
        <f>J144*E141+V144*Q141+AG144*AB141</f>
        <v>49680149.580000028</v>
      </c>
      <c r="AI145" s="62"/>
      <c r="AK145" s="150"/>
      <c r="AL145" s="150"/>
      <c r="AM145" s="270"/>
      <c r="AN145" s="150"/>
    </row>
    <row r="146" spans="10:40">
      <c r="J146" s="62">
        <f>J144*E141</f>
        <v>36394851.769378908</v>
      </c>
      <c r="K146" s="62"/>
      <c r="V146" s="62">
        <f>V144*Q141</f>
        <v>12995933.637291703</v>
      </c>
      <c r="W146" s="62">
        <f>V144*Q141+J144*E141</f>
        <v>49390785.406670615</v>
      </c>
      <c r="AG146" s="62">
        <f>AG144*AB141</f>
        <v>289364.1733294155</v>
      </c>
      <c r="AH146" s="62"/>
      <c r="AI146" s="62"/>
      <c r="AK146" s="150"/>
      <c r="AL146" s="150"/>
      <c r="AM146" s="287"/>
      <c r="AN146" s="150"/>
    </row>
    <row r="147" spans="10:40">
      <c r="J147" s="69"/>
      <c r="K147" s="69"/>
      <c r="V147" s="69"/>
      <c r="W147" s="250"/>
      <c r="AG147" s="69">
        <f>AG146+V146+J146</f>
        <v>49680149.580000028</v>
      </c>
      <c r="AH147" s="250">
        <f>AG169</f>
        <v>49680149.579999998</v>
      </c>
      <c r="AI147" s="250"/>
      <c r="AK147" s="150"/>
      <c r="AL147" s="150"/>
      <c r="AM147" s="126"/>
      <c r="AN147" s="150"/>
    </row>
    <row r="148" spans="10:40">
      <c r="J148" s="62"/>
      <c r="K148" s="62"/>
      <c r="L148" s="69"/>
      <c r="V148" s="62"/>
      <c r="W148" s="69"/>
      <c r="AG148" s="62"/>
      <c r="AH148" s="69"/>
      <c r="AI148" s="69"/>
      <c r="AK148" s="150"/>
      <c r="AL148" s="150"/>
      <c r="AM148" s="288"/>
      <c r="AN148" s="150"/>
    </row>
    <row r="149" spans="10:40">
      <c r="J149" s="69"/>
      <c r="K149" s="69"/>
      <c r="V149" s="69"/>
      <c r="AG149" s="69"/>
      <c r="AH149" s="359">
        <f>AH147-AH145</f>
        <v>0</v>
      </c>
      <c r="AI149" s="69"/>
      <c r="AK149" s="150"/>
      <c r="AL149" s="150"/>
      <c r="AM149" s="287"/>
      <c r="AN149" s="150"/>
    </row>
    <row r="150" spans="10:40">
      <c r="J150" s="69"/>
      <c r="K150" s="69"/>
      <c r="V150" s="69"/>
      <c r="AG150" s="69"/>
      <c r="AK150" s="150"/>
      <c r="AL150" s="150"/>
      <c r="AM150" s="288"/>
      <c r="AN150" s="150"/>
    </row>
    <row r="151" spans="10:40">
      <c r="AK151" s="150"/>
      <c r="AL151" s="150"/>
      <c r="AM151" s="270"/>
      <c r="AN151" s="150"/>
    </row>
    <row r="152" spans="10:40">
      <c r="AK152" s="150"/>
      <c r="AL152" s="150"/>
      <c r="AM152" s="288"/>
      <c r="AN152" s="150"/>
    </row>
    <row r="153" spans="10:40">
      <c r="AK153" s="150"/>
      <c r="AL153" s="150"/>
      <c r="AM153" s="126"/>
      <c r="AN153" s="126"/>
    </row>
    <row r="154" spans="10:40">
      <c r="AK154" s="150"/>
      <c r="AL154" s="289"/>
      <c r="AM154" s="270"/>
      <c r="AN154" s="126"/>
    </row>
    <row r="155" spans="10:40">
      <c r="AK155" s="150"/>
      <c r="AL155" s="150"/>
      <c r="AM155" s="126"/>
      <c r="AN155" s="126"/>
    </row>
    <row r="156" spans="10:40">
      <c r="AK156" s="150"/>
      <c r="AL156" s="150"/>
      <c r="AM156" s="126"/>
      <c r="AN156" s="126"/>
    </row>
    <row r="157" spans="10:40">
      <c r="AG157" s="14" t="s">
        <v>219</v>
      </c>
    </row>
    <row r="158" spans="10:40">
      <c r="AE158" s="134" t="s">
        <v>220</v>
      </c>
      <c r="AF158" s="134">
        <v>211</v>
      </c>
      <c r="AG158" s="366">
        <f>28590742.7+8634404.3+2197311.83+663588.13</f>
        <v>40086046.960000001</v>
      </c>
      <c r="AH158" s="134"/>
    </row>
    <row r="159" spans="10:40">
      <c r="AE159" s="134" t="s">
        <v>221</v>
      </c>
      <c r="AF159" s="134">
        <v>212</v>
      </c>
      <c r="AG159" s="346">
        <v>97200</v>
      </c>
      <c r="AH159" s="134">
        <v>1800</v>
      </c>
    </row>
    <row r="160" spans="10:40">
      <c r="AE160" s="134" t="s">
        <v>222</v>
      </c>
      <c r="AF160" s="134">
        <v>213</v>
      </c>
      <c r="AG160" s="134"/>
      <c r="AH160" s="134"/>
    </row>
    <row r="161" spans="31:35">
      <c r="AE161" s="134" t="s">
        <v>223</v>
      </c>
      <c r="AF161" s="134">
        <v>221</v>
      </c>
      <c r="AG161" s="346">
        <v>240308</v>
      </c>
      <c r="AH161" s="134"/>
    </row>
    <row r="162" spans="31:35">
      <c r="AE162" s="134" t="s">
        <v>224</v>
      </c>
      <c r="AF162" s="134">
        <v>222</v>
      </c>
      <c r="AG162" s="346">
        <v>444558</v>
      </c>
      <c r="AH162" s="134"/>
    </row>
    <row r="163" spans="31:35">
      <c r="AE163" s="134" t="s">
        <v>225</v>
      </c>
      <c r="AF163" s="134">
        <v>223</v>
      </c>
      <c r="AG163" s="346">
        <v>4116329.23</v>
      </c>
      <c r="AH163" s="134"/>
    </row>
    <row r="164" spans="31:35">
      <c r="AG164" s="134"/>
      <c r="AH164" s="134"/>
    </row>
    <row r="165" spans="31:35">
      <c r="AE165" s="134" t="s">
        <v>226</v>
      </c>
      <c r="AF165" s="134">
        <v>225</v>
      </c>
      <c r="AG165" s="134">
        <v>1417799.85</v>
      </c>
      <c r="AH165" s="134"/>
    </row>
    <row r="166" spans="31:35">
      <c r="AE166" s="134" t="s">
        <v>227</v>
      </c>
      <c r="AF166" s="134">
        <v>226</v>
      </c>
      <c r="AG166" s="134">
        <v>2250047.54</v>
      </c>
      <c r="AH166" s="134">
        <f>199400-199400</f>
        <v>0</v>
      </c>
      <c r="AI166" s="14" t="s">
        <v>229</v>
      </c>
    </row>
    <row r="167" spans="31:35">
      <c r="AF167" s="134">
        <v>290</v>
      </c>
      <c r="AG167" s="134"/>
      <c r="AH167" s="134"/>
    </row>
    <row r="168" spans="31:35">
      <c r="AE168" s="134" t="s">
        <v>228</v>
      </c>
      <c r="AF168" s="134">
        <v>340</v>
      </c>
      <c r="AG168" s="346">
        <v>1026060</v>
      </c>
      <c r="AH168" s="134"/>
    </row>
    <row r="169" spans="31:35">
      <c r="AG169" s="134">
        <f>SUM(AG158:AG168)+AH159</f>
        <v>49680149.579999998</v>
      </c>
    </row>
  </sheetData>
  <mergeCells count="214">
    <mergeCell ref="AH117:AH141"/>
    <mergeCell ref="X142:AF142"/>
    <mergeCell ref="X143:AF143"/>
    <mergeCell ref="X144:AF144"/>
    <mergeCell ref="AH94:AH97"/>
    <mergeCell ref="X97:AF97"/>
    <mergeCell ref="X98:AH98"/>
    <mergeCell ref="AH99:AH102"/>
    <mergeCell ref="X102:AF102"/>
    <mergeCell ref="X103:AH103"/>
    <mergeCell ref="AH104:AH115"/>
    <mergeCell ref="X115:AF115"/>
    <mergeCell ref="X116:AH116"/>
    <mergeCell ref="X68:AH68"/>
    <mergeCell ref="AH69:AH74"/>
    <mergeCell ref="X74:AF74"/>
    <mergeCell ref="X75:AH75"/>
    <mergeCell ref="AH76:AH87"/>
    <mergeCell ref="X87:AF87"/>
    <mergeCell ref="X88:AH88"/>
    <mergeCell ref="X92:AF92"/>
    <mergeCell ref="X93:AH93"/>
    <mergeCell ref="Z40:AA40"/>
    <mergeCell ref="Z41:AA41"/>
    <mergeCell ref="Z42:AA42"/>
    <mergeCell ref="Z43:AA43"/>
    <mergeCell ref="X44:AF44"/>
    <mergeCell ref="Z46:AA46"/>
    <mergeCell ref="Z47:AA47"/>
    <mergeCell ref="X48:AH48"/>
    <mergeCell ref="Z49:AA49"/>
    <mergeCell ref="AH49:AH65"/>
    <mergeCell ref="Z50:AA50"/>
    <mergeCell ref="Z51:AA51"/>
    <mergeCell ref="Z52:AA52"/>
    <mergeCell ref="Z53:AA53"/>
    <mergeCell ref="X64:AF64"/>
    <mergeCell ref="X65:AF65"/>
    <mergeCell ref="X16:AF16"/>
    <mergeCell ref="Z18:AA18"/>
    <mergeCell ref="Z19:AA19"/>
    <mergeCell ref="X20:AH20"/>
    <mergeCell ref="Z21:AA21"/>
    <mergeCell ref="AH21:AH44"/>
    <mergeCell ref="Z22:AA22"/>
    <mergeCell ref="Z23:AA23"/>
    <mergeCell ref="Z24:AA24"/>
    <mergeCell ref="Z25:AA25"/>
    <mergeCell ref="Z26:AA26"/>
    <mergeCell ref="Z27:AA27"/>
    <mergeCell ref="Z28:AA28"/>
    <mergeCell ref="Z29:AA29"/>
    <mergeCell ref="Z30:AA30"/>
    <mergeCell ref="Z31:AA31"/>
    <mergeCell ref="Z32:AA32"/>
    <mergeCell ref="Z33:AA33"/>
    <mergeCell ref="Z34:AA34"/>
    <mergeCell ref="Z35:AA35"/>
    <mergeCell ref="Z36:AA36"/>
    <mergeCell ref="Z37:AA37"/>
    <mergeCell ref="Z38:AA38"/>
    <mergeCell ref="Z39:AA39"/>
    <mergeCell ref="Z5:AA5"/>
    <mergeCell ref="Z6:AA6"/>
    <mergeCell ref="X7:AH7"/>
    <mergeCell ref="Z8:AA8"/>
    <mergeCell ref="AH8:AH10"/>
    <mergeCell ref="Z9:AA9"/>
    <mergeCell ref="Z10:AA10"/>
    <mergeCell ref="Z11:AA11"/>
    <mergeCell ref="Z12:AA12"/>
    <mergeCell ref="W8:W10"/>
    <mergeCell ref="A144:I144"/>
    <mergeCell ref="A143:I143"/>
    <mergeCell ref="A65:I65"/>
    <mergeCell ref="C51:D51"/>
    <mergeCell ref="C52:D52"/>
    <mergeCell ref="C53:D53"/>
    <mergeCell ref="A103:L103"/>
    <mergeCell ref="A115:I115"/>
    <mergeCell ref="A116:L116"/>
    <mergeCell ref="A142:I142"/>
    <mergeCell ref="A92:I92"/>
    <mergeCell ref="A93:L93"/>
    <mergeCell ref="A97:I97"/>
    <mergeCell ref="A98:L98"/>
    <mergeCell ref="A102:I102"/>
    <mergeCell ref="L104:L115"/>
    <mergeCell ref="L117:L144"/>
    <mergeCell ref="L69:L74"/>
    <mergeCell ref="A68:L68"/>
    <mergeCell ref="A74:I74"/>
    <mergeCell ref="A75:L75"/>
    <mergeCell ref="L49:L65"/>
    <mergeCell ref="L99:L102"/>
    <mergeCell ref="C5:D5"/>
    <mergeCell ref="C6:D6"/>
    <mergeCell ref="C8:D8"/>
    <mergeCell ref="C9:D9"/>
    <mergeCell ref="C10:D10"/>
    <mergeCell ref="A7:L7"/>
    <mergeCell ref="A44:I44"/>
    <mergeCell ref="C23:D23"/>
    <mergeCell ref="C24:D24"/>
    <mergeCell ref="C25:D25"/>
    <mergeCell ref="C26:D26"/>
    <mergeCell ref="C27:D27"/>
    <mergeCell ref="C28:D28"/>
    <mergeCell ref="C29:D29"/>
    <mergeCell ref="C30:D30"/>
    <mergeCell ref="C11:D11"/>
    <mergeCell ref="C12:D12"/>
    <mergeCell ref="C18:D18"/>
    <mergeCell ref="C19:D19"/>
    <mergeCell ref="C21:D21"/>
    <mergeCell ref="A20:L20"/>
    <mergeCell ref="C22:D22"/>
    <mergeCell ref="L8:L10"/>
    <mergeCell ref="C36:D36"/>
    <mergeCell ref="A87:I87"/>
    <mergeCell ref="A88:L88"/>
    <mergeCell ref="A64:I64"/>
    <mergeCell ref="L76:L87"/>
    <mergeCell ref="L94:L97"/>
    <mergeCell ref="A16:I16"/>
    <mergeCell ref="L21:L45"/>
    <mergeCell ref="C31:D31"/>
    <mergeCell ref="C32:D32"/>
    <mergeCell ref="C43:D43"/>
    <mergeCell ref="C33:D33"/>
    <mergeCell ref="C34:D34"/>
    <mergeCell ref="C40:D40"/>
    <mergeCell ref="C37:D37"/>
    <mergeCell ref="C46:D46"/>
    <mergeCell ref="C38:D38"/>
    <mergeCell ref="C39:D39"/>
    <mergeCell ref="C42:D42"/>
    <mergeCell ref="C41:D41"/>
    <mergeCell ref="C47:D47"/>
    <mergeCell ref="A48:L48"/>
    <mergeCell ref="O18:P18"/>
    <mergeCell ref="O19:P19"/>
    <mergeCell ref="M20:W20"/>
    <mergeCell ref="O21:P21"/>
    <mergeCell ref="M44:U44"/>
    <mergeCell ref="O25:P25"/>
    <mergeCell ref="O26:P26"/>
    <mergeCell ref="O27:P27"/>
    <mergeCell ref="O28:P28"/>
    <mergeCell ref="O29:P29"/>
    <mergeCell ref="O30:P30"/>
    <mergeCell ref="O31:P31"/>
    <mergeCell ref="O32:P32"/>
    <mergeCell ref="O33:P33"/>
    <mergeCell ref="O34:P34"/>
    <mergeCell ref="O35:P35"/>
    <mergeCell ref="O36:P36"/>
    <mergeCell ref="O47:P47"/>
    <mergeCell ref="M48:W48"/>
    <mergeCell ref="O49:P49"/>
    <mergeCell ref="O50:P50"/>
    <mergeCell ref="O51:P51"/>
    <mergeCell ref="O52:P52"/>
    <mergeCell ref="O53:P53"/>
    <mergeCell ref="M64:U64"/>
    <mergeCell ref="W49:W65"/>
    <mergeCell ref="M68:W68"/>
    <mergeCell ref="W69:W74"/>
    <mergeCell ref="M74:U74"/>
    <mergeCell ref="C49:D49"/>
    <mergeCell ref="C35:D35"/>
    <mergeCell ref="C50:D50"/>
    <mergeCell ref="O5:P5"/>
    <mergeCell ref="O6:P6"/>
    <mergeCell ref="M7:W7"/>
    <mergeCell ref="O8:P8"/>
    <mergeCell ref="O9:P9"/>
    <mergeCell ref="O10:P10"/>
    <mergeCell ref="O11:P11"/>
    <mergeCell ref="O12:P12"/>
    <mergeCell ref="M16:U16"/>
    <mergeCell ref="O37:P37"/>
    <mergeCell ref="O38:P38"/>
    <mergeCell ref="O39:P39"/>
    <mergeCell ref="O40:P40"/>
    <mergeCell ref="W21:W44"/>
    <mergeCell ref="O22:P22"/>
    <mergeCell ref="O23:P23"/>
    <mergeCell ref="O24:P24"/>
    <mergeCell ref="O46:P46"/>
    <mergeCell ref="B1:L1"/>
    <mergeCell ref="W117:W141"/>
    <mergeCell ref="M142:U142"/>
    <mergeCell ref="M143:U143"/>
    <mergeCell ref="M144:U144"/>
    <mergeCell ref="M102:U102"/>
    <mergeCell ref="M103:W103"/>
    <mergeCell ref="W104:W115"/>
    <mergeCell ref="M115:U115"/>
    <mergeCell ref="M116:W116"/>
    <mergeCell ref="W99:W102"/>
    <mergeCell ref="M93:W93"/>
    <mergeCell ref="M97:U97"/>
    <mergeCell ref="M98:W98"/>
    <mergeCell ref="M75:W75"/>
    <mergeCell ref="M87:U87"/>
    <mergeCell ref="M88:W88"/>
    <mergeCell ref="M92:U92"/>
    <mergeCell ref="W94:W97"/>
    <mergeCell ref="W76:W87"/>
    <mergeCell ref="O41:P41"/>
    <mergeCell ref="O42:P42"/>
    <mergeCell ref="O43:P43"/>
    <mergeCell ref="M65:U65"/>
  </mergeCells>
  <pageMargins left="0.70866141732283472" right="0.70866141732283472" top="0.74803149606299213" bottom="0.74803149606299213" header="0.31496062992125984" footer="0.31496062992125984"/>
  <pageSetup paperSize="9" scale="39" fitToHeight="0" orientation="portrait" blackAndWhite="1" r:id="rId1"/>
  <rowBreaks count="2" manualBreakCount="2">
    <brk id="87" max="44" man="1"/>
    <brk id="145" max="44" man="1"/>
  </rowBreaks>
  <colBreaks count="2" manualBreakCount="2">
    <brk id="12" max="143" man="1"/>
    <brk id="23" max="143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31"/>
  <sheetViews>
    <sheetView tabSelected="1" view="pageBreakPreview" topLeftCell="F1" zoomScale="90" zoomScaleSheetLayoutView="90" workbookViewId="0">
      <selection activeCell="Y18" sqref="Y18"/>
    </sheetView>
  </sheetViews>
  <sheetFormatPr defaultColWidth="8.85546875" defaultRowHeight="12.75"/>
  <cols>
    <col min="1" max="1" width="26" style="2" customWidth="1"/>
    <col min="2" max="2" width="8.85546875" style="2"/>
    <col min="3" max="3" width="13.140625" style="2" customWidth="1"/>
    <col min="4" max="4" width="12.28515625" style="2" customWidth="1"/>
    <col min="5" max="11" width="8.85546875" style="2"/>
    <col min="12" max="12" width="31" style="2" customWidth="1"/>
    <col min="13" max="13" width="17.5703125" style="2" customWidth="1"/>
    <col min="14" max="14" width="20.28515625" style="2" customWidth="1"/>
    <col min="15" max="15" width="19.28515625" style="2" customWidth="1"/>
    <col min="16" max="16" width="14.85546875" style="2" customWidth="1"/>
    <col min="17" max="17" width="12.5703125" style="2" bestFit="1" customWidth="1"/>
    <col min="18" max="18" width="14.5703125" style="2" customWidth="1"/>
    <col min="19" max="19" width="14.7109375" style="2" customWidth="1"/>
    <col min="20" max="20" width="9" style="2" bestFit="1" customWidth="1"/>
    <col min="21" max="21" width="14.140625" style="2" customWidth="1"/>
    <col min="22" max="22" width="12" style="2" customWidth="1"/>
    <col min="23" max="24" width="14.5703125" style="2" customWidth="1"/>
    <col min="25" max="25" width="13.5703125" style="2" customWidth="1"/>
    <col min="26" max="16384" width="8.85546875" style="2"/>
  </cols>
  <sheetData>
    <row r="1" spans="1:25" ht="59.25" customHeight="1">
      <c r="B1" s="498" t="s">
        <v>247</v>
      </c>
      <c r="C1" s="498"/>
      <c r="D1" s="498"/>
      <c r="E1" s="498"/>
      <c r="F1" s="498"/>
      <c r="G1" s="498"/>
      <c r="H1" s="498"/>
      <c r="I1" s="498"/>
      <c r="J1" s="498"/>
      <c r="K1" s="498"/>
      <c r="L1" s="498"/>
    </row>
    <row r="2" spans="1:25" ht="70.5" customHeight="1">
      <c r="A2" s="500" t="s">
        <v>115</v>
      </c>
      <c r="B2" s="500" t="s">
        <v>63</v>
      </c>
      <c r="C2" s="500"/>
      <c r="D2" s="500"/>
      <c r="E2" s="500" t="s">
        <v>64</v>
      </c>
      <c r="F2" s="500"/>
      <c r="G2" s="500"/>
      <c r="H2" s="500"/>
      <c r="I2" s="500"/>
      <c r="J2" s="500"/>
      <c r="K2" s="500"/>
      <c r="L2" s="500" t="s">
        <v>65</v>
      </c>
      <c r="M2" s="499" t="s">
        <v>211</v>
      </c>
      <c r="N2" s="499" t="s">
        <v>212</v>
      </c>
    </row>
    <row r="3" spans="1:25" ht="16.5" customHeight="1">
      <c r="A3" s="500"/>
      <c r="B3" s="254" t="s">
        <v>30</v>
      </c>
      <c r="C3" s="254" t="s">
        <v>62</v>
      </c>
      <c r="D3" s="254" t="s">
        <v>31</v>
      </c>
      <c r="E3" s="254" t="s">
        <v>32</v>
      </c>
      <c r="F3" s="254" t="s">
        <v>33</v>
      </c>
      <c r="G3" s="254" t="s">
        <v>34</v>
      </c>
      <c r="H3" s="254" t="s">
        <v>35</v>
      </c>
      <c r="I3" s="254" t="s">
        <v>36</v>
      </c>
      <c r="J3" s="254" t="s">
        <v>37</v>
      </c>
      <c r="K3" s="254" t="s">
        <v>38</v>
      </c>
      <c r="L3" s="500"/>
      <c r="M3" s="499"/>
      <c r="N3" s="501"/>
      <c r="O3" s="504" t="s">
        <v>30</v>
      </c>
      <c r="P3" s="504" t="s">
        <v>62</v>
      </c>
      <c r="Q3" s="504" t="s">
        <v>31</v>
      </c>
      <c r="R3" s="504" t="s">
        <v>32</v>
      </c>
      <c r="S3" s="504" t="s">
        <v>33</v>
      </c>
      <c r="T3" s="504" t="s">
        <v>34</v>
      </c>
      <c r="U3" s="504" t="s">
        <v>35</v>
      </c>
      <c r="V3" s="504" t="s">
        <v>36</v>
      </c>
      <c r="W3" s="504" t="s">
        <v>37</v>
      </c>
      <c r="X3" s="504" t="s">
        <v>38</v>
      </c>
      <c r="Y3" s="504" t="s">
        <v>249</v>
      </c>
    </row>
    <row r="4" spans="1:25" ht="15.75">
      <c r="A4" s="255">
        <v>1</v>
      </c>
      <c r="B4" s="255">
        <v>2</v>
      </c>
      <c r="C4" s="255">
        <v>3</v>
      </c>
      <c r="D4" s="255">
        <v>4</v>
      </c>
      <c r="E4" s="255">
        <v>5</v>
      </c>
      <c r="F4" s="255">
        <v>6</v>
      </c>
      <c r="G4" s="255">
        <v>7</v>
      </c>
      <c r="H4" s="255">
        <v>8</v>
      </c>
      <c r="I4" s="255">
        <v>9</v>
      </c>
      <c r="J4" s="255">
        <v>10</v>
      </c>
      <c r="K4" s="255">
        <v>11</v>
      </c>
      <c r="L4" s="255" t="s">
        <v>39</v>
      </c>
      <c r="M4" s="256">
        <v>13</v>
      </c>
      <c r="N4" s="502" t="s">
        <v>213</v>
      </c>
      <c r="O4" s="505">
        <f>расчет!AJ16</f>
        <v>20571670.8288</v>
      </c>
      <c r="P4" s="505">
        <f>расчет!AJ44</f>
        <v>91860</v>
      </c>
      <c r="Q4" s="505">
        <f>расчет!AJ64</f>
        <v>1842805.4999999998</v>
      </c>
      <c r="R4" s="505">
        <f>расчет!AJ74</f>
        <v>4116329.2299999865</v>
      </c>
      <c r="S4" s="505">
        <f>расчет!AJ87</f>
        <v>1594799.8499999999</v>
      </c>
      <c r="T4" s="505">
        <f>расчет!AI92</f>
        <v>0</v>
      </c>
      <c r="U4" s="505">
        <f>расчет!AK97</f>
        <v>240308</v>
      </c>
      <c r="V4" s="505">
        <f>расчет!AJ102</f>
        <v>444558</v>
      </c>
      <c r="W4" s="505">
        <f>расчет!AJ115</f>
        <v>19514376.131200045</v>
      </c>
      <c r="X4" s="505">
        <f>расчет!AJ142</f>
        <v>1263442.04</v>
      </c>
      <c r="Y4" s="505">
        <f>SUM(O4:X4)</f>
        <v>49680149.580000035</v>
      </c>
    </row>
    <row r="5" spans="1:25" ht="51">
      <c r="A5" s="11" t="s">
        <v>196</v>
      </c>
      <c r="B5" s="58">
        <f>расчет!J16</f>
        <v>86.882594385878946</v>
      </c>
      <c r="C5" s="12">
        <f>расчет!J44</f>
        <v>0.31931004493404841</v>
      </c>
      <c r="D5" s="12">
        <f>расчет!J64</f>
        <v>7.8745998548862151</v>
      </c>
      <c r="E5" s="58">
        <f>расчет!J74</f>
        <v>17.589722330238086</v>
      </c>
      <c r="F5" s="58">
        <f>расчет!J87</f>
        <v>6.8148306334101072</v>
      </c>
      <c r="G5" s="12">
        <f>расчет!J92</f>
        <v>0</v>
      </c>
      <c r="H5" s="12">
        <f>расчет!J97</f>
        <v>0.84762078288138776</v>
      </c>
      <c r="I5" s="12">
        <f>расчет!J102</f>
        <v>1.8996662664142656</v>
      </c>
      <c r="J5" s="12">
        <f>расчет!J115</f>
        <v>83.387998971023904</v>
      </c>
      <c r="K5" s="12">
        <f>расчет!J142</f>
        <v>5.398886586131896</v>
      </c>
      <c r="L5" s="67">
        <f>B5+C5+D5+E5+F5+G5+H5+I5+J5+K5</f>
        <v>211.01522985579888</v>
      </c>
      <c r="M5" s="389">
        <f>расчет!C3</f>
        <v>172475</v>
      </c>
      <c r="N5" s="503">
        <f>M5*L5</f>
        <v>36394851.769378908</v>
      </c>
      <c r="O5" s="505">
        <f>(B5*M5)/O4*100</f>
        <v>72.843259020680094</v>
      </c>
      <c r="P5" s="505">
        <f>(C5*M5)/P4*100</f>
        <v>59.953189636403224</v>
      </c>
      <c r="Q5" s="505">
        <f>(D5*M5)/Q4*100</f>
        <v>73.701300000000018</v>
      </c>
      <c r="R5" s="505">
        <f>(E5*M5)/R4*100</f>
        <v>73.701280665245122</v>
      </c>
      <c r="S5" s="505">
        <f>(F5*M5)/S4*100</f>
        <v>73.701280665245122</v>
      </c>
      <c r="T5" s="505" t="e">
        <f>(G5*M5)/T4*100</f>
        <v>#DIV/0!</v>
      </c>
      <c r="U5" s="505">
        <f>(H5*M5)/U4*100</f>
        <v>60.835841722900341</v>
      </c>
      <c r="V5" s="505">
        <f>(I5*M5)/V4*100</f>
        <v>73.701280665245122</v>
      </c>
      <c r="W5" s="505">
        <f>(J5*M5)/W4*100</f>
        <v>73.701280665245122</v>
      </c>
      <c r="X5" s="505">
        <f>(K5*M5)/X4*100</f>
        <v>73.701280665245136</v>
      </c>
      <c r="Y5" s="505"/>
    </row>
    <row r="6" spans="1:25" ht="51">
      <c r="A6" s="263" t="s">
        <v>131</v>
      </c>
      <c r="B6" s="264">
        <f>расчет!V16</f>
        <v>86.88259438587896</v>
      </c>
      <c r="C6" s="265">
        <f>расчет!V44</f>
        <v>0.52439460425808548</v>
      </c>
      <c r="D6" s="265">
        <f>расчет!V64</f>
        <v>7.8745867332764501</v>
      </c>
      <c r="E6" s="264">
        <f>расчет!V74</f>
        <v>17.589722330238086</v>
      </c>
      <c r="F6" s="264">
        <f>расчет!V87</f>
        <v>6.8148306334101072</v>
      </c>
      <c r="G6" s="265">
        <f>расчет!V92</f>
        <v>0</v>
      </c>
      <c r="H6" s="265">
        <f>расчет!V97</f>
        <v>0.84028287782435629</v>
      </c>
      <c r="I6" s="265">
        <f>расчет!V102</f>
        <v>1.8996662664142656</v>
      </c>
      <c r="J6" s="265">
        <f>расчет!V115</f>
        <v>83.387998971023904</v>
      </c>
      <c r="K6" s="265">
        <f>расчет!V142</f>
        <v>5.398886586131896</v>
      </c>
      <c r="L6" s="273">
        <f>B6+C6+D6+E6+F6+G6+H6+I6+J6+K6</f>
        <v>211.21296338845613</v>
      </c>
      <c r="M6" s="389">
        <f>расчет!O3</f>
        <v>61530</v>
      </c>
      <c r="N6" s="503">
        <f>L6*M6</f>
        <v>12995933.637291705</v>
      </c>
      <c r="O6" s="505">
        <f>B6*M6/O4*100</f>
        <v>25.986639962559483</v>
      </c>
      <c r="P6" s="505">
        <f>(C6*M6)/P4*100</f>
        <v>35.125190507293709</v>
      </c>
      <c r="Q6" s="505">
        <f>(D6*M6)/Q4*100</f>
        <v>26.292700000000004</v>
      </c>
      <c r="R6" s="505">
        <f>(E6*M6)/R4*100</f>
        <v>26.292736914524035</v>
      </c>
      <c r="S6" s="505">
        <f>(F6*M6)/S4*100</f>
        <v>26.292736914524035</v>
      </c>
      <c r="T6" s="505" t="e">
        <f>(G6*M6)/T4*100</f>
        <v>#DIV/0!</v>
      </c>
      <c r="U6" s="505">
        <f>(H6*M6)/U4*100</f>
        <v>21.515141182371224</v>
      </c>
      <c r="V6" s="505">
        <f>(I6*M6)/V4*100</f>
        <v>26.292736914524035</v>
      </c>
      <c r="W6" s="505">
        <f>(J6*M6)/W4*100</f>
        <v>26.292736914524035</v>
      </c>
      <c r="X6" s="505">
        <f>(K6*M6)/X4*100</f>
        <v>26.292736914524038</v>
      </c>
      <c r="Y6" s="505"/>
    </row>
    <row r="7" spans="1:25" ht="50.25" customHeight="1">
      <c r="A7" s="274" t="s">
        <v>248</v>
      </c>
      <c r="B7" s="264">
        <f>расчет!AG16</f>
        <v>17193.52353802817</v>
      </c>
      <c r="C7" s="265">
        <f>расчет!AG44</f>
        <v>322.92857142857144</v>
      </c>
      <c r="D7" s="265">
        <f>расчет!AG64</f>
        <v>7.8977378571428565</v>
      </c>
      <c r="E7" s="264">
        <f>расчет!AG74</f>
        <v>17.589722330238086</v>
      </c>
      <c r="F7" s="264">
        <f>расчет!AG87</f>
        <v>6.8148306334101072</v>
      </c>
      <c r="G7" s="265">
        <f>расчет!AG92</f>
        <v>0</v>
      </c>
      <c r="H7" s="265">
        <f>расчет!AG97</f>
        <v>3029.4285714285711</v>
      </c>
      <c r="I7" s="265">
        <f>расчет!AG102</f>
        <v>1.8996662664142656</v>
      </c>
      <c r="J7" s="265">
        <f>расчет!AG115</f>
        <v>83.387998971023904</v>
      </c>
      <c r="K7" s="265">
        <f>расчет!AG142</f>
        <v>5.398886586131896</v>
      </c>
      <c r="L7" s="273">
        <f>B7+C7+D7+E7+F7+G7+H7+I7+J7+K7</f>
        <v>20668.869523529676</v>
      </c>
      <c r="M7" s="202">
        <f>расчет!Z3</f>
        <v>14</v>
      </c>
      <c r="N7" s="503">
        <f>L7*M7</f>
        <v>289364.1733294155</v>
      </c>
      <c r="O7" s="505">
        <f>(B7*M7)/O4*100</f>
        <v>1.1701010167604144</v>
      </c>
      <c r="P7" s="505">
        <f>(C7*M7)/P4*100</f>
        <v>4.92161985630307</v>
      </c>
      <c r="Q7" s="505">
        <f>(D7*M7)/Q4*100</f>
        <v>6.0000000000000001E-3</v>
      </c>
      <c r="R7" s="505">
        <f>(E7*M7)/R4*100</f>
        <v>5.9824202308359584E-3</v>
      </c>
      <c r="S7" s="505">
        <f>(F7*M7)/S4*100</f>
        <v>5.9824202308359576E-3</v>
      </c>
      <c r="T7" s="505" t="e">
        <f>(G7*M7)/T4*100</f>
        <v>#DIV/0!</v>
      </c>
      <c r="U7" s="505">
        <f>(H7*M7)/U4*100</f>
        <v>17.649017094728428</v>
      </c>
      <c r="V7" s="505">
        <f>(I7*M7)/V4*100</f>
        <v>5.9824202308359584E-3</v>
      </c>
      <c r="W7" s="505">
        <f>(J7*M7)/W4*100</f>
        <v>5.9824202308359576E-3</v>
      </c>
      <c r="X7" s="505">
        <f>(K7*M7)/X4*100</f>
        <v>5.9824202308359584E-3</v>
      </c>
      <c r="Y7" s="505"/>
    </row>
    <row r="8" spans="1:25">
      <c r="M8" s="123"/>
      <c r="N8" s="251">
        <f>SUM(N5:N7)</f>
        <v>49680149.580000028</v>
      </c>
      <c r="O8" s="505">
        <f t="shared" ref="O8:X8" si="0">SUM(O5:O7)</f>
        <v>99.999999999999986</v>
      </c>
      <c r="P8" s="505">
        <f t="shared" si="0"/>
        <v>100</v>
      </c>
      <c r="Q8" s="505">
        <f t="shared" si="0"/>
        <v>100.00000000000003</v>
      </c>
      <c r="R8" s="505">
        <f t="shared" si="0"/>
        <v>99.999999999999986</v>
      </c>
      <c r="S8" s="505">
        <f t="shared" si="0"/>
        <v>99.999999999999986</v>
      </c>
      <c r="T8" s="505" t="e">
        <f t="shared" si="0"/>
        <v>#DIV/0!</v>
      </c>
      <c r="U8" s="505">
        <f t="shared" si="0"/>
        <v>100</v>
      </c>
      <c r="V8" s="505">
        <f t="shared" si="0"/>
        <v>99.999999999999986</v>
      </c>
      <c r="W8" s="505">
        <f t="shared" si="0"/>
        <v>99.999999999999986</v>
      </c>
      <c r="X8" s="505">
        <f t="shared" si="0"/>
        <v>100.00000000000001</v>
      </c>
      <c r="Y8" s="505"/>
    </row>
    <row r="9" spans="1:25" ht="25.5">
      <c r="L9" s="252" t="s">
        <v>214</v>
      </c>
      <c r="M9" s="253">
        <f>расчет!AG169</f>
        <v>49680149.579999998</v>
      </c>
    </row>
    <row r="10" spans="1:25">
      <c r="M10" s="123"/>
    </row>
    <row r="11" spans="1:25">
      <c r="L11" s="66"/>
    </row>
    <row r="12" spans="1:25" ht="15">
      <c r="K12" s="14"/>
      <c r="L12" s="66"/>
      <c r="N12" s="123">
        <f>M9-N8</f>
        <v>0</v>
      </c>
    </row>
    <row r="13" spans="1:25" ht="15">
      <c r="D13" s="2" t="s">
        <v>66</v>
      </c>
      <c r="K13" s="14"/>
      <c r="L13" s="66"/>
      <c r="M13" s="248"/>
    </row>
    <row r="14" spans="1:25" ht="15">
      <c r="K14" s="14"/>
      <c r="L14" s="66"/>
    </row>
    <row r="31" ht="12" customHeight="1"/>
  </sheetData>
  <mergeCells count="7">
    <mergeCell ref="B1:L1"/>
    <mergeCell ref="M2:M3"/>
    <mergeCell ref="N2:N3"/>
    <mergeCell ref="A2:A3"/>
    <mergeCell ref="B2:D2"/>
    <mergeCell ref="E2:K2"/>
    <mergeCell ref="L2:L3"/>
  </mergeCells>
  <pageMargins left="0.70866141732283472" right="0.70866141732283472" top="0.74803149606299213" bottom="0.74803149606299213" header="0.31496062992125984" footer="0.31496062992125984"/>
  <pageSetup paperSize="9" scale="68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НН физ.спорт ДЮСШ</vt:lpstr>
      <vt:lpstr>расчет гто</vt:lpstr>
      <vt:lpstr>расчет</vt:lpstr>
      <vt:lpstr>Для ФУ </vt:lpstr>
      <vt:lpstr>'Для ФУ '!Область_печати</vt:lpstr>
      <vt:lpstr>'НН физ.спорт ДЮСШ'!Область_печати</vt:lpstr>
      <vt:lpstr>расчет!Область_печати</vt:lpstr>
      <vt:lpstr>'расчет гто'!Область_печати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2020-11-17T03:55:21Z</cp:lastPrinted>
  <dcterms:created xsi:type="dcterms:W3CDTF">2015-01-28T06:12:04Z</dcterms:created>
  <dcterms:modified xsi:type="dcterms:W3CDTF">2021-01-28T09:34:24Z</dcterms:modified>
</cp:coreProperties>
</file>